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J:\QualMgt\02 Compliance\01 Bescheinigungen\01 Vorlagen\20 Conflict Minerals + Cobalt + MICA\Conflict Minerals Reporting\Conflict Minerals Reporting Template CMRT\CMRT BU AO\"/>
    </mc:Choice>
  </mc:AlternateContent>
  <xr:revisionPtr revIDLastSave="0" documentId="13_ncr:1_{71E9C396-E289-47FA-A179-E9CF5F248854}"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5" i="5" l="1"/>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5" i="5" s="1"/>
  <c r="C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5" i="5"/>
  <c r="E15" i="5"/>
  <c r="V16" i="5"/>
  <c r="E16" i="5"/>
  <c r="X16" i="5" s="1"/>
  <c r="V17" i="5"/>
  <c r="E17" i="5"/>
  <c r="X17" i="5" s="1"/>
  <c r="V18" i="5"/>
  <c r="E18" i="5"/>
  <c r="X18" i="5" s="1"/>
  <c r="V19" i="5"/>
  <c r="E19" i="5"/>
  <c r="X19" i="5" s="1"/>
  <c r="V20" i="5"/>
  <c r="E20" i="5"/>
  <c r="X20" i="5" s="1"/>
  <c r="V21" i="5"/>
  <c r="E21" i="5"/>
  <c r="X21" i="5" s="1"/>
  <c r="V22" i="5"/>
  <c r="E22" i="5"/>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V88" i="5"/>
  <c r="E88" i="5"/>
  <c r="X88" i="5" s="1"/>
  <c r="V89" i="5"/>
  <c r="E89" i="5"/>
  <c r="X89" i="5" s="1"/>
  <c r="V90" i="5"/>
  <c r="E90" i="5"/>
  <c r="X90" i="5" s="1"/>
  <c r="V91" i="5"/>
  <c r="E91" i="5"/>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V368" i="5"/>
  <c r="E368" i="5"/>
  <c r="X368" i="5" s="1"/>
  <c r="V369" i="5"/>
  <c r="E369" i="5"/>
  <c r="X369" i="5" s="1"/>
  <c r="V370" i="5"/>
  <c r="E370" i="5"/>
  <c r="X370" i="5" s="1"/>
  <c r="V371" i="5"/>
  <c r="E371" i="5"/>
  <c r="X371" i="5" s="1"/>
  <c r="V372" i="5"/>
  <c r="E372" i="5"/>
  <c r="X372" i="5" s="1"/>
  <c r="V373" i="5"/>
  <c r="E373" i="5"/>
  <c r="X373" i="5" s="1"/>
  <c r="V374" i="5"/>
  <c r="E374" i="5"/>
  <c r="X374" i="5" s="1"/>
  <c r="V375" i="5"/>
  <c r="E375" i="5"/>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V416" i="5"/>
  <c r="E416" i="5"/>
  <c r="X416" i="5" s="1"/>
  <c r="V417" i="5"/>
  <c r="E417" i="5"/>
  <c r="X417" i="5" s="1"/>
  <c r="V418" i="5"/>
  <c r="E418" i="5"/>
  <c r="X418" i="5" s="1"/>
  <c r="V419" i="5"/>
  <c r="E419" i="5"/>
  <c r="X419" i="5" s="1"/>
  <c r="V420" i="5"/>
  <c r="E420" i="5"/>
  <c r="X420" i="5" s="1"/>
  <c r="V421" i="5"/>
  <c r="E421" i="5"/>
  <c r="X421" i="5" s="1"/>
  <c r="V422" i="5"/>
  <c r="E422" i="5"/>
  <c r="X422" i="5" s="1"/>
  <c r="V423" i="5"/>
  <c r="E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V660" i="5"/>
  <c r="E660" i="5"/>
  <c r="X660" i="5" s="1"/>
  <c r="V661" i="5"/>
  <c r="E661" i="5"/>
  <c r="X661" i="5" s="1"/>
  <c r="V662" i="5"/>
  <c r="E662" i="5"/>
  <c r="X662" i="5" s="1"/>
  <c r="V663" i="5"/>
  <c r="E663" i="5"/>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c r="B56" i="6"/>
  <c r="G56" i="6" s="1"/>
  <c r="B55" i="6"/>
  <c r="G55" i="6" s="1"/>
  <c r="B54" i="6"/>
  <c r="G54" i="6" s="1"/>
  <c r="B17" i="6"/>
  <c r="B16" i="6"/>
  <c r="B15" i="6"/>
  <c r="B14" i="6"/>
  <c r="G14" i="6"/>
  <c r="H14" i="6"/>
  <c r="D14" i="6" s="1"/>
  <c r="H13" i="6"/>
  <c r="B12" i="6"/>
  <c r="G12" i="6" s="1"/>
  <c r="H12" i="6" s="1"/>
  <c r="D12" i="6" s="1"/>
  <c r="B11" i="6"/>
  <c r="G11" i="6" s="1"/>
  <c r="H11" i="6" s="1"/>
  <c r="D11" i="6" s="1"/>
  <c r="G9" i="6"/>
  <c r="H9" i="6" s="1"/>
  <c r="D9" i="6" s="1"/>
  <c r="B8" i="6"/>
  <c r="G8" i="6" s="1"/>
  <c r="H8" i="6" s="1"/>
  <c r="D8" i="6" s="1"/>
  <c r="B7" i="6"/>
  <c r="G7" i="6" s="1"/>
  <c r="H7" i="6" s="1"/>
  <c r="D7" i="6" s="1"/>
  <c r="B6" i="6"/>
  <c r="G6" i="6"/>
  <c r="B5"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B47" i="4" s="1"/>
  <c r="A32" i="6" s="1"/>
  <c r="P46" i="4"/>
  <c r="P45" i="4"/>
  <c r="P44" i="4"/>
  <c r="P43" i="4"/>
  <c r="Q43" i="4" s="1"/>
  <c r="P41" i="4"/>
  <c r="P40" i="4"/>
  <c r="P39" i="4"/>
  <c r="B39" i="4" s="1"/>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D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H51" i="6" s="1"/>
  <c r="D51" i="6" s="1"/>
  <c r="G16" i="6"/>
  <c r="H16" i="6" s="1"/>
  <c r="B19" i="6"/>
  <c r="B39" i="6" s="1"/>
  <c r="G39" i="6" s="1"/>
  <c r="A38" i="2"/>
  <c r="J4" i="5"/>
  <c r="B41" i="4"/>
  <c r="B59" i="4" s="1"/>
  <c r="A42"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186" i="5"/>
  <c r="S598" i="5"/>
  <c r="S532" i="5"/>
  <c r="S356" i="5"/>
  <c r="S343" i="5"/>
  <c r="S315" i="5"/>
  <c r="X22" i="5"/>
  <c r="S357" i="5"/>
  <c r="S383"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c r="B41" i="6"/>
  <c r="G41" i="6"/>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36" i="6" s="1"/>
  <c r="B52" i="6"/>
  <c r="G52" i="6" s="1"/>
  <c r="B37" i="6"/>
  <c r="G37" i="6" s="1"/>
  <c r="B42" i="6"/>
  <c r="G42" i="6" s="1"/>
  <c r="B40" i="6"/>
  <c r="G40" i="6"/>
  <c r="B50" i="6"/>
  <c r="G50" i="6" s="1"/>
  <c r="B25" i="6"/>
  <c r="G25" i="6" s="1"/>
  <c r="B35" i="6"/>
  <c r="G35" i="6" s="1"/>
  <c r="B44" i="6"/>
  <c r="G44" i="6"/>
  <c r="G32" i="6"/>
  <c r="B49" i="6"/>
  <c r="G49" i="6" s="1"/>
  <c r="B24" i="6"/>
  <c r="G24" i="6" s="1"/>
  <c r="G19" i="6"/>
  <c r="F2426" i="5"/>
  <c r="R2426" i="5"/>
  <c r="J2426" i="5"/>
  <c r="I2426" i="5"/>
  <c r="H2426" i="5"/>
  <c r="F2446" i="5"/>
  <c r="H2446" i="5"/>
  <c r="J2446" i="5"/>
  <c r="I2446" i="5"/>
  <c r="R2446" i="5"/>
  <c r="G22" i="6"/>
  <c r="H22" i="6" s="1"/>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X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D21" i="6" s="1"/>
  <c r="B36" i="6"/>
  <c r="G36" i="6" s="1"/>
  <c r="G20" i="6"/>
  <c r="H20" i="6" s="1"/>
  <c r="B45" i="6"/>
  <c r="G45" i="6" s="1"/>
  <c r="D17"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X659"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H31" i="6" s="1"/>
  <c r="D31" i="6" s="1"/>
  <c r="F46" i="6"/>
  <c r="H46" i="6" s="1"/>
  <c r="D46" i="6" s="1"/>
  <c r="F41" i="6"/>
  <c r="H41" i="6" s="1"/>
  <c r="D41" i="6" s="1"/>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X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X663" i="5"/>
  <c r="R663" i="5"/>
  <c r="J663" i="5"/>
  <c r="I663" i="5"/>
  <c r="H663" i="5"/>
  <c r="F663" i="5"/>
  <c r="R655" i="5"/>
  <c r="J655" i="5"/>
  <c r="I655" i="5"/>
  <c r="H655" i="5"/>
  <c r="F655" i="5"/>
  <c r="R647" i="5"/>
  <c r="J647" i="5"/>
  <c r="I647" i="5"/>
  <c r="H647" i="5"/>
  <c r="F647" i="5"/>
  <c r="X639" i="5"/>
  <c r="R639" i="5"/>
  <c r="J639" i="5"/>
  <c r="I639" i="5"/>
  <c r="H639" i="5"/>
  <c r="F639"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X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S611" i="5"/>
  <c r="S601" i="5"/>
  <c r="X375" i="5"/>
  <c r="X567" i="5"/>
  <c r="X91" i="5"/>
  <c r="S600" i="5"/>
  <c r="X423" i="5"/>
  <c r="S382" i="5"/>
  <c r="X367" i="5"/>
  <c r="S533" i="5"/>
  <c r="X355" i="5"/>
  <c r="S355" i="5"/>
  <c r="X391" i="5"/>
  <c r="S602" i="5"/>
  <c r="S603" i="5"/>
  <c r="S605" i="5"/>
  <c r="S607" i="5"/>
  <c r="X87" i="5"/>
  <c r="S314" i="5"/>
  <c r="X415" i="5"/>
  <c r="X239" i="5"/>
  <c r="H26" i="6"/>
  <c r="D26" i="6" s="1"/>
  <c r="AB17" i="5"/>
  <c r="AB16" i="5"/>
  <c r="AB15"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7" i="5"/>
  <c r="I17" i="5"/>
  <c r="J17" i="5"/>
  <c r="R17" i="5"/>
  <c r="F17" i="5"/>
  <c r="H15" i="5"/>
  <c r="J15" i="5"/>
  <c r="I15" i="5"/>
  <c r="F15" i="5"/>
  <c r="R15" i="5"/>
  <c r="X15" i="5"/>
  <c r="S17" i="5"/>
  <c r="S16" i="5"/>
  <c r="S15" i="5"/>
  <c r="G64" i="6" a="1"/>
  <c r="B14" i="5" l="1"/>
  <c r="C14" i="5"/>
  <c r="C13" i="5"/>
  <c r="B13" i="5"/>
  <c r="C12" i="5"/>
  <c r="B12" i="5"/>
  <c r="C11" i="5"/>
  <c r="B11" i="5"/>
  <c r="C10" i="5"/>
  <c r="B10" i="5"/>
  <c r="B9" i="5"/>
  <c r="C9" i="5"/>
  <c r="B8" i="5"/>
  <c r="C8" i="5"/>
  <c r="B7" i="5"/>
  <c r="B6" i="5"/>
  <c r="C7" i="5"/>
  <c r="C6" i="5"/>
  <c r="B5" i="5"/>
  <c r="D22" i="6"/>
  <c r="K68" i="6"/>
  <c r="H19" i="6"/>
  <c r="F47" i="6"/>
  <c r="H47" i="6" s="1"/>
  <c r="D47" i="6" s="1"/>
  <c r="F37" i="6"/>
  <c r="H37" i="6" s="1"/>
  <c r="D37" i="6" s="1"/>
  <c r="F52" i="6"/>
  <c r="H52" i="6" s="1"/>
  <c r="D52" i="6" s="1"/>
  <c r="F42" i="6"/>
  <c r="H42" i="6" s="1"/>
  <c r="D42" i="6" s="1"/>
  <c r="H27" i="6"/>
  <c r="D27" i="6" s="1"/>
  <c r="F68" i="6"/>
  <c r="F32" i="6"/>
  <c r="H32" i="6" s="1"/>
  <c r="D32" i="6" s="1"/>
  <c r="C37" i="6"/>
  <c r="C17" i="6"/>
  <c r="C22" i="6"/>
  <c r="C27" i="6"/>
  <c r="H36" i="6"/>
  <c r="K67" i="6"/>
  <c r="D16" i="6"/>
  <c r="C46" i="6"/>
  <c r="C21" i="6"/>
  <c r="C16" i="6"/>
  <c r="F67" i="6"/>
  <c r="C26" i="6"/>
  <c r="C41" i="6"/>
  <c r="C51" i="6"/>
  <c r="C31" i="6"/>
  <c r="K66" i="6"/>
  <c r="D20" i="6"/>
  <c r="B57" i="4"/>
  <c r="A40" i="6" s="1"/>
  <c r="B63" i="4"/>
  <c r="A45" i="6" s="1"/>
  <c r="A25" i="6"/>
  <c r="B51" i="4"/>
  <c r="A35" i="6" s="1"/>
  <c r="B69" i="4"/>
  <c r="A50" i="6" s="1"/>
  <c r="F30" i="6"/>
  <c r="H30" i="6" s="1"/>
  <c r="D30" i="6" s="1"/>
  <c r="F35" i="6"/>
  <c r="H35" i="6" s="1"/>
  <c r="D35" i="6" s="1"/>
  <c r="F45" i="6"/>
  <c r="H45" i="6" s="1"/>
  <c r="D45" i="6" s="1"/>
  <c r="H25" i="6"/>
  <c r="D25" i="6" s="1"/>
  <c r="F40" i="6"/>
  <c r="H40" i="6" s="1"/>
  <c r="D40" i="6" s="1"/>
  <c r="F66" i="6"/>
  <c r="F50" i="6"/>
  <c r="H50" i="6" s="1"/>
  <c r="D50" i="6" s="1"/>
  <c r="C20" i="6"/>
  <c r="C15" i="6"/>
  <c r="A14" i="6"/>
  <c r="D19" i="6"/>
  <c r="K65" i="6"/>
  <c r="B55" i="4"/>
  <c r="A38" i="6" s="1"/>
  <c r="B67" i="4"/>
  <c r="A48" i="6" s="1"/>
  <c r="B77" i="4"/>
  <c r="A55" i="6" s="1"/>
  <c r="B61" i="4"/>
  <c r="A43" i="6" s="1"/>
  <c r="B49" i="4"/>
  <c r="A33" i="6" s="1"/>
  <c r="B89" i="4"/>
  <c r="A63" i="6" s="1"/>
  <c r="B37" i="4"/>
  <c r="A23" i="6" s="1"/>
  <c r="B83" i="4"/>
  <c r="A59" i="6" s="1"/>
  <c r="B79" i="4"/>
  <c r="A57" i="6" s="1"/>
  <c r="B85" i="4"/>
  <c r="A60" i="6" s="1"/>
  <c r="B43" i="4"/>
  <c r="A28" i="6" s="1"/>
  <c r="B31" i="4"/>
  <c r="A18" i="6" s="1"/>
  <c r="B87" i="4"/>
  <c r="A62" i="6" s="1"/>
  <c r="B75" i="4"/>
  <c r="A54" i="6" s="1"/>
  <c r="B81" i="4"/>
  <c r="A58" i="6" s="1"/>
  <c r="C19" i="6"/>
  <c r="C14" i="6"/>
  <c r="B29" i="6"/>
  <c r="G29" i="6" s="1"/>
  <c r="F24" i="6"/>
  <c r="B34" i="6"/>
  <c r="G34" i="6" s="1"/>
  <c r="B35" i="4"/>
  <c r="A22" i="6" s="1"/>
  <c r="C12" i="6"/>
  <c r="C11" i="6"/>
  <c r="C10" i="6"/>
  <c r="B64" i="4"/>
  <c r="A46" i="6" s="1"/>
  <c r="C9" i="6"/>
  <c r="C8" i="6"/>
  <c r="B70" i="4"/>
  <c r="A51" i="6" s="1"/>
  <c r="A26" i="6"/>
  <c r="A16" i="6"/>
  <c r="B65" i="4"/>
  <c r="A47" i="6" s="1"/>
  <c r="B58" i="4"/>
  <c r="A41" i="6" s="1"/>
  <c r="A27" i="6"/>
  <c r="C7" i="6"/>
  <c r="A24" i="6"/>
  <c r="B62" i="4"/>
  <c r="A44" i="6" s="1"/>
  <c r="F64" i="6"/>
  <c r="F6" i="6"/>
  <c r="H6" i="6" s="1"/>
  <c r="D6" i="6" s="1"/>
  <c r="D67" i="4"/>
  <c r="D74" i="4"/>
  <c r="D43" i="4"/>
  <c r="D49" i="4"/>
  <c r="A15" i="6"/>
  <c r="B56" i="4"/>
  <c r="A39" i="6" s="1"/>
  <c r="B50" i="4"/>
  <c r="A34" i="6" s="1"/>
  <c r="G37" i="4"/>
  <c r="D55" i="4"/>
  <c r="D61" i="4"/>
  <c r="B53" i="4"/>
  <c r="A37" i="6" s="1"/>
  <c r="C6" i="6"/>
  <c r="G31" i="4"/>
  <c r="G55" i="4"/>
  <c r="G74" i="4"/>
  <c r="G43" i="4"/>
  <c r="G67" i="4"/>
  <c r="C4" i="6"/>
  <c r="B71" i="4"/>
  <c r="A52" i="6" s="1"/>
  <c r="G61" i="4"/>
  <c r="G64" i="6"/>
  <c r="D37" i="4"/>
  <c r="AB14" i="5" l="1"/>
  <c r="V14" i="5"/>
  <c r="AB13" i="5"/>
  <c r="V13" i="5"/>
  <c r="G13" i="5" s="1"/>
  <c r="AB12" i="5"/>
  <c r="V12" i="5"/>
  <c r="G12" i="5" s="1"/>
  <c r="AB11" i="5"/>
  <c r="V11" i="5"/>
  <c r="AB10" i="5"/>
  <c r="V10" i="5"/>
  <c r="V9" i="5"/>
  <c r="G9" i="5" s="1"/>
  <c r="AB9" i="5"/>
  <c r="F69" i="6"/>
  <c r="C69" i="6" s="1"/>
  <c r="V8" i="5"/>
  <c r="G8" i="5" s="1"/>
  <c r="AB8" i="5"/>
  <c r="V7" i="5"/>
  <c r="G7" i="5" s="1"/>
  <c r="AB7" i="5"/>
  <c r="V6" i="5"/>
  <c r="G6" i="5" s="1"/>
  <c r="AB6" i="5"/>
  <c r="G66" i="6" s="1"/>
  <c r="H66" i="6" s="1"/>
  <c r="AB5" i="5"/>
  <c r="G68" i="6"/>
  <c r="H68" i="6" s="1"/>
  <c r="V5" i="5"/>
  <c r="C25" i="6"/>
  <c r="C42" i="6"/>
  <c r="C32" i="6"/>
  <c r="C47" i="6"/>
  <c r="C52" i="6"/>
  <c r="C35" i="6"/>
  <c r="C40" i="6"/>
  <c r="C36" i="6"/>
  <c r="D36" i="6"/>
  <c r="C30" i="6"/>
  <c r="C45" i="6"/>
  <c r="C50" i="6"/>
  <c r="F65" i="6"/>
  <c r="F49" i="6"/>
  <c r="H49" i="6" s="1"/>
  <c r="F44" i="6"/>
  <c r="H44" i="6" s="1"/>
  <c r="F29" i="6"/>
  <c r="H29" i="6" s="1"/>
  <c r="F39" i="6"/>
  <c r="H39" i="6" s="1"/>
  <c r="F54" i="6"/>
  <c r="H24" i="6"/>
  <c r="F34" i="6"/>
  <c r="H34" i="6" s="1"/>
  <c r="B64" i="6"/>
  <c r="H64" i="6"/>
  <c r="J14" i="5" l="1"/>
  <c r="H14" i="5"/>
  <c r="F14" i="5"/>
  <c r="R14" i="5"/>
  <c r="E14" i="5"/>
  <c r="I14" i="5"/>
  <c r="G14" i="5"/>
  <c r="H13" i="5"/>
  <c r="R13" i="5"/>
  <c r="J13" i="5"/>
  <c r="F13" i="5"/>
  <c r="I13" i="5"/>
  <c r="E13" i="5"/>
  <c r="H12" i="5"/>
  <c r="J12" i="5"/>
  <c r="E12" i="5"/>
  <c r="I12" i="5"/>
  <c r="R12" i="5"/>
  <c r="F12" i="5"/>
  <c r="I11" i="5"/>
  <c r="H11" i="5"/>
  <c r="J11" i="5"/>
  <c r="F11" i="5"/>
  <c r="E11" i="5"/>
  <c r="R11" i="5"/>
  <c r="G65" i="6"/>
  <c r="H65" i="6" s="1"/>
  <c r="G11" i="5"/>
  <c r="G67" i="6"/>
  <c r="H67" i="6" s="1"/>
  <c r="D67" i="6" s="1"/>
  <c r="E10" i="5"/>
  <c r="I10" i="5"/>
  <c r="F10" i="5"/>
  <c r="R10" i="5"/>
  <c r="J10" i="5"/>
  <c r="H10" i="5"/>
  <c r="F9" i="5"/>
  <c r="E9" i="5"/>
  <c r="H9" i="5"/>
  <c r="J9" i="5"/>
  <c r="I9" i="5"/>
  <c r="R9" i="5"/>
  <c r="J8" i="5"/>
  <c r="H8" i="5"/>
  <c r="F8" i="5"/>
  <c r="I8" i="5"/>
  <c r="R8" i="5"/>
  <c r="E8" i="5"/>
  <c r="R7" i="5"/>
  <c r="H7" i="5"/>
  <c r="J7" i="5"/>
  <c r="F7" i="5"/>
  <c r="E7" i="5"/>
  <c r="I7" i="5"/>
  <c r="E6" i="5"/>
  <c r="F6" i="5"/>
  <c r="J6" i="5"/>
  <c r="H6" i="5"/>
  <c r="R6" i="5"/>
  <c r="I6" i="5"/>
  <c r="D68" i="6"/>
  <c r="C68" i="6"/>
  <c r="D66" i="6"/>
  <c r="C66" i="6"/>
  <c r="J5" i="5"/>
  <c r="E5" i="5"/>
  <c r="R5" i="5"/>
  <c r="F5" i="5"/>
  <c r="I5" i="5"/>
  <c r="H5" i="5"/>
  <c r="G5" i="5"/>
  <c r="D34" i="6"/>
  <c r="C34" i="6"/>
  <c r="B2" i="6"/>
  <c r="C2" i="6"/>
  <c r="D24" i="6"/>
  <c r="C24" i="6"/>
  <c r="D49" i="6"/>
  <c r="C49" i="6"/>
  <c r="D39" i="6"/>
  <c r="C39" i="6"/>
  <c r="D44" i="6"/>
  <c r="C44" i="6"/>
  <c r="F60" i="6"/>
  <c r="H60" i="6" s="1"/>
  <c r="F57" i="6"/>
  <c r="H57" i="6" s="1"/>
  <c r="F63" i="6"/>
  <c r="H63" i="6" s="1"/>
  <c r="H54" i="6"/>
  <c r="F62" i="6"/>
  <c r="H62" i="6" s="1"/>
  <c r="F59" i="6"/>
  <c r="H59" i="6" s="1"/>
  <c r="F58" i="6"/>
  <c r="H58" i="6" s="1"/>
  <c r="F55" i="6"/>
  <c r="D29" i="6"/>
  <c r="C29" i="6"/>
  <c r="C64" i="6"/>
  <c r="D64" i="6"/>
  <c r="X14" i="5" l="1"/>
  <c r="X13" i="5"/>
  <c r="X12" i="5"/>
  <c r="X11" i="5"/>
  <c r="C67" i="6"/>
  <c r="X10" i="5"/>
  <c r="X9" i="5"/>
  <c r="X8" i="5"/>
  <c r="X7" i="5"/>
  <c r="X6" i="5"/>
  <c r="X5" i="5"/>
  <c r="G69" i="6" a="1"/>
  <c r="G69" i="6" s="1"/>
  <c r="H69" i="6" s="1"/>
  <c r="D57" i="6"/>
  <c r="C57" i="6"/>
  <c r="D54" i="6"/>
  <c r="C54" i="6"/>
  <c r="D65" i="6"/>
  <c r="C65" i="6"/>
  <c r="D63" i="6"/>
  <c r="C63" i="6"/>
  <c r="D59" i="6"/>
  <c r="C59" i="6"/>
  <c r="D60" i="6"/>
  <c r="C60" i="6"/>
  <c r="F56" i="6"/>
  <c r="H56" i="6" s="1"/>
  <c r="H55" i="6"/>
  <c r="D58" i="6"/>
  <c r="C58" i="6"/>
  <c r="D62" i="6"/>
  <c r="C62" i="6"/>
  <c r="S12" i="5"/>
  <c r="S5" i="5"/>
  <c r="S11" i="5"/>
  <c r="S10" i="5"/>
  <c r="S9" i="5"/>
  <c r="S8" i="5"/>
  <c r="S6" i="5"/>
  <c r="S7" i="5"/>
  <c r="S14" i="5"/>
  <c r="S13" i="5"/>
  <c r="D55" i="6" l="1"/>
  <c r="C55" i="6"/>
  <c r="D56" i="6"/>
  <c r="C56" i="6"/>
  <c r="H70" i="6"/>
  <c r="D2" i="6" s="1"/>
  <c r="T11" i="5"/>
  <c r="T10" i="5"/>
  <c r="T12" i="5"/>
  <c r="T9" i="5"/>
  <c r="T8" i="5"/>
  <c r="T7" i="5"/>
  <c r="T14" i="5"/>
  <c r="T6" i="5"/>
  <c r="T13" i="5"/>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<sst xmlns="http://schemas.openxmlformats.org/spreadsheetml/2006/main" count="22524" uniqueCount="15867">
  <si>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</si>
  <si>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</si>
  <si>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</si>
  <si>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</si>
  <si>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</si>
  <si>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</si>
  <si>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</si>
  <si>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</si>
  <si>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</si>
  <si>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</si>
  <si>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</si>
  <si>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</si>
  <si>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</si>
  <si>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</si>
  <si>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</si>
  <si>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</si>
  <si>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</si>
  <si>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</si>
  <si>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</si>
  <si>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</si>
  <si>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</si>
  <si>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</si>
  <si>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</si>
  <si>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</si>
  <si>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</si>
  <si>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</si>
  <si>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</si>
  <si>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</si>
  <si>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</si>
  <si>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</si>
  <si>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</si>
  <si>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</si>
  <si>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</si>
  <si>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</si>
  <si>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</si>
  <si>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</si>
  <si>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</si>
  <si>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</si>
  <si>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</si>
  <si>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</si>
  <si>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</si>
  <si>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</si>
  <si>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</si>
  <si>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</si>
  <si>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</si>
  <si>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</si>
  <si>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</si>
  <si>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</si>
  <si>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</si>
  <si>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</si>
  <si>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</si>
  <si>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</si>
  <si>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</si>
  <si>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</si>
  <si>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</si>
  <si>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</si>
  <si>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</si>
  <si>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</si>
  <si>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</si>
  <si>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</si>
  <si>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</si>
  <si>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</si>
  <si>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</si>
  <si>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</si>
  <si>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</si>
  <si>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</si>
  <si>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</si>
  <si>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</si>
  <si>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</si>
  <si>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</si>
  <si>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</si>
  <si>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</si>
  <si>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</si>
  <si>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</si>
  <si>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</si>
  <si>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</si>
  <si>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</si>
  <si>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</si>
  <si>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</si>
  <si>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</si>
  <si>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</si>
  <si>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</si>
  <si>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</si>
  <si>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</si>
  <si>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</si>
  <si>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</si>
  <si>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</si>
  <si>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</si>
  <si>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</si>
  <si>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</si>
  <si>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</si>
  <si>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</si>
  <si>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</si>
  <si>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</si>
  <si>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</si>
  <si>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</si>
  <si>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</si>
  <si>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</si>
  <si>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</si>
  <si>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</si>
  <si>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</si>
  <si>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</si>
  <si>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</si>
  <si>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</si>
  <si>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</si>
  <si>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</si>
  <si>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</si>
  <si>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</si>
  <si>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</si>
  <si>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</si>
  <si>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</si>
  <si>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</si>
  <si>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</si>
  <si>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</si>
  <si>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</si>
  <si>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</si>
  <si>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</si>
  <si>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</si>
  <si>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</si>
  <si>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</si>
  <si>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</si>
  <si>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</si>
  <si>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</si>
  <si>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</si>
  <si>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</si>
  <si>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</si>
  <si>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</si>
  <si>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</si>
  <si>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</si>
  <si>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</si>
  <si>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</si>
  <si>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</si>
  <si>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</si>
  <si>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</si>
  <si>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</si>
  <si>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</si>
  <si>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</si>
  <si>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</si>
  <si>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</si>
  <si>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</si>
  <si>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</si>
  <si>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</si>
  <si>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</si>
  <si>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</si>
  <si>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</si>
  <si>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</si>
  <si>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</si>
  <si>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</si>
  <si>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</si>
  <si>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</si>
  <si>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</si>
  <si>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</si>
  <si>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</si>
  <si>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</si>
  <si>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</si>
  <si>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</si>
  <si>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</si>
  <si>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</si>
  <si>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</si>
  <si>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</si>
  <si>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</si>
  <si>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</si>
  <si>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</si>
  <si>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</si>
  <si>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</si>
  <si>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</si>
  <si>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</si>
  <si>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</si>
  <si>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</si>
  <si>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</si>
  <si>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</si>
  <si>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</si>
  <si>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</si>
  <si>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</si>
  <si>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</si>
  <si>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</si>
  <si>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</si>
  <si>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</si>
  <si>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</si>
  <si>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</si>
  <si>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</si>
  <si>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</si>
  <si>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</si>
  <si>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</si>
  <si>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</si>
  <si>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</si>
  <si>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</si>
  <si>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</si>
  <si>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</si>
  <si>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</si>
  <si>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</si>
  <si>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</si>
  <si>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</si>
  <si>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</si>
  <si>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</si>
  <si>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</si>
  <si>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</si>
  <si>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</si>
  <si>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</si>
  <si>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</si>
  <si>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</si>
  <si>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</si>
  <si>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</si>
  <si>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</si>
  <si>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</si>
  <si>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</si>
  <si>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</si>
  <si>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</si>
  <si>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</si>
  <si>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</si>
  <si>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</si>
  <si>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</si>
  <si>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</si>
  <si>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</si>
  <si>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</si>
  <si>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</si>
  <si>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</si>
  <si>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</si>
  <si>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</si>
  <si>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</si>
  <si>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</si>
  <si>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</si>
  <si>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</si>
  <si>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</si>
  <si>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</si>
  <si>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</si>
  <si>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</si>
  <si>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</si>
  <si>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</si>
  <si>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</si>
  <si>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</si>
  <si>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</si>
  <si>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</si>
  <si>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</si>
  <si>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</si>
  <si>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</si>
  <si>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</si>
  <si>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</si>
  <si>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</si>
  <si>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</si>
  <si>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</si>
  <si>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</si>
  <si>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</si>
  <si>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</si>
  <si>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</si>
  <si>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</si>
  <si>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</si>
  <si>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</si>
  <si>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</si>
  <si>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</si>
  <si>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</si>
  <si>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</si>
  <si>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</si>
  <si>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</si>
  <si>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</si>
  <si>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</si>
  <si>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</si>
  <si>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</si>
  <si>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</si>
  <si>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</si>
  <si>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</si>
  <si>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</si>
  <si>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</si>
  <si>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</si>
  <si>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</si>
  <si>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</si>
  <si>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</si>
  <si>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</si>
  <si>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</si>
  <si>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</si>
  <si>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</si>
  <si>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</si>
  <si>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</si>
  <si>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</si>
  <si>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</si>
  <si>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</si>
  <si>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</si>
  <si>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</si>
  <si>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</si>
  <si>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</si>
  <si>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</si>
  <si>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</si>
  <si>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</si>
  <si>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</si>
  <si>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</si>
  <si>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</si>
  <si>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</si>
  <si>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</si>
  <si>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</si>
  <si>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</si>
  <si>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</si>
  <si>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</si>
  <si>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</si>
  <si>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</si>
  <si>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</si>
  <si>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</si>
  <si>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</si>
  <si>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</si>
  <si>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</si>
  <si>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</si>
  <si>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</si>
  <si>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</si>
  <si>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</si>
  <si>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</si>
  <si>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</si>
  <si>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</si>
  <si>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</si>
  <si>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</si>
  <si>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</si>
  <si>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</si>
  <si>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</si>
  <si>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</si>
  <si>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</si>
  <si>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</si>
  <si>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</si>
  <si>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</si>
  <si>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</si>
  <si>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</si>
  <si>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</si>
  <si>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</si>
  <si>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</si>
  <si>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</si>
  <si>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</si>
  <si>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</si>
  <si>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</si>
  <si>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</si>
  <si>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</si>
  <si>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</si>
  <si>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</si>
  <si>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</si>
  <si>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</si>
  <si>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</si>
  <si>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</si>
  <si>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</si>
  <si>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</si>
  <si>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</si>
  <si>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</si>
  <si>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</si>
  <si>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</si>
  <si>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</si>
  <si>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</si>
  <si>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</si>
  <si>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</si>
  <si>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</si>
  <si>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</si>
  <si>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</si>
  <si>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</si>
  <si>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</si>
  <si>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</si>
  <si>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</si>
  <si>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</si>
  <si>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</si>
  <si>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</si>
  <si>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</si>
  <si>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</si>
  <si>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</si>
  <si>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</si>
  <si>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</si>
  <si>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</si>
  <si>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</si>
  <si>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</si>
  <si>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</si>
  <si>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</si>
  <si>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</si>
  <si>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</si>
  <si>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</si>
  <si>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</si>
  <si>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</si>
  <si>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</si>
  <si>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</si>
  <si>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</si>
  <si>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</si>
  <si>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</si>
  <si>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</si>
  <si>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</si>
  <si>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</si>
  <si>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</si>
  <si>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</si>
  <si>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</si>
  <si>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</si>
  <si>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</si>
  <si>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</si>
  <si>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</si>
  <si>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</si>
  <si>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</si>
  <si>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</si>
  <si>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</si>
  <si>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</si>
  <si>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</si>
  <si>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</si>
  <si>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</si>
  <si>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</si>
  <si>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</si>
  <si>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</si>
  <si>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</si>
  <si>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</si>
  <si>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</si>
  <si>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</si>
  <si>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</si>
  <si>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</si>
  <si>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</si>
  <si>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</si>
  <si>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</si>
  <si>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</si>
  <si>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</si>
  <si>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</si>
  <si>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</si>
  <si>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</si>
  <si>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</si>
  <si>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</si>
  <si>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</si>
  <si>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</si>
  <si>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</si>
  <si>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</si>
  <si>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</si>
  <si>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</si>
  <si>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</si>
  <si>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</si>
  <si>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</si>
  <si>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</si>
  <si>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</si>
  <si>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</si>
  <si>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</si>
  <si>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</si>
  <si>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</si>
  <si>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</si>
  <si>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</si>
  <si>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</si>
  <si>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</si>
  <si>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</si>
  <si>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</si>
  <si>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</si>
  <si>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</si>
  <si>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</si>
  <si>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</si>
  <si>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</si>
  <si>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</si>
  <si>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</si>
  <si>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</si>
  <si>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</si>
  <si>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</si>
  <si>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</si>
  <si>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</si>
  <si>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</si>
  <si>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</si>
  <si>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</si>
  <si>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</si>
  <si>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</si>
  <si>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</si>
  <si>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</si>
  <si>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</si>
  <si>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</si>
  <si>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</si>
  <si>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</si>
  <si>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</si>
  <si>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</si>
  <si>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</si>
  <si>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</si>
  <si>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</si>
  <si>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</si>
  <si>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</si>
  <si>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</si>
  <si>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</si>
  <si>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</si>
  <si>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</si>
  <si>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</si>
  <si>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</si>
  <si>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</si>
  <si>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</si>
  <si>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</si>
  <si>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</si>
  <si>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</si>
  <si>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</si>
  <si>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</si>
  <si>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</si>
  <si>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</si>
  <si>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</si>
  <si>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</si>
  <si>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</si>
  <si>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</si>
  <si>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</si>
  <si>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</si>
  <si>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</si>
  <si>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</si>
  <si>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</si>
  <si>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</si>
  <si>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</si>
  <si>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</si>
  <si>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</si>
  <si>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</si>
  <si>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</si>
  <si>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</si>
  <si>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</si>
  <si>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</si>
  <si>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</si>
  <si>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</si>
  <si>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</si>
  <si>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</si>
  <si>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</si>
  <si>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</si>
  <si>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</si>
  <si>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</si>
  <si>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</si>
  <si>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</si>
  <si>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</si>
  <si>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</si>
  <si>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</si>
  <si>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</si>
  <si>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</si>
  <si>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</si>
  <si>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</si>
  <si>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</si>
  <si>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</si>
  <si>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</si>
  <si>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</si>
  <si>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</si>
  <si>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</si>
  <si>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</si>
  <si>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</si>
  <si>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</si>
  <si>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</si>
  <si>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</si>
  <si>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</si>
  <si>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</si>
  <si>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</si>
  <si>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</si>
  <si>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</si>
  <si>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</si>
  <si>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</si>
  <si>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</si>
  <si>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</si>
  <si>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</si>
  <si>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</si>
  <si>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</si>
  <si>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</si>
  <si>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</si>
  <si>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</si>
  <si>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</si>
  <si>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</si>
  <si>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</si>
  <si>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</si>
  <si>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</si>
  <si>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</si>
  <si>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</si>
  <si>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</si>
  <si>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</si>
  <si>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</si>
  <si>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</si>
  <si>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</si>
  <si>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</si>
  <si>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</si>
  <si>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</si>
  <si>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</si>
  <si>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</si>
  <si>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</si>
  <si>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</si>
  <si>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</si>
  <si>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</si>
  <si>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</si>
  <si>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</si>
  <si>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</si>
  <si>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</si>
  <si>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</si>
  <si>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</si>
  <si>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</si>
  <si>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</si>
  <si>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</si>
  <si>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</si>
  <si>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</si>
  <si>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</si>
  <si>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</si>
  <si>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</si>
  <si>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</si>
  <si>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</si>
  <si>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</si>
  <si>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</si>
  <si>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</si>
  <si>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</si>
  <si>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</si>
  <si>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</si>
  <si>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</si>
  <si>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</si>
  <si>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</si>
  <si>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</si>
  <si>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</si>
  <si>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</si>
  <si>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</si>
  <si>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</si>
  <si>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</si>
  <si>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</si>
  <si>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</si>
  <si>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</si>
  <si>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</si>
  <si>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</si>
  <si>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</si>
  <si>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</si>
  <si>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</si>
  <si>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</si>
  <si>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</si>
  <si>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</si>
  <si>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</si>
  <si>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</si>
  <si>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</si>
  <si>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</si>
  <si>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</si>
  <si>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</si>
  <si>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</si>
  <si>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</si>
  <si>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</si>
  <si>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</si>
  <si>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</si>
  <si>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</si>
  <si>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</si>
  <si>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</si>
  <si>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</si>
  <si>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</si>
  <si>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</si>
  <si>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</si>
  <si>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</si>
  <si>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</si>
  <si>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</si>
  <si>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</si>
  <si>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</si>
  <si>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</si>
  <si>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</si>
  <si>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</si>
  <si>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</si>
  <si>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</si>
  <si>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</si>
  <si>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</si>
  <si>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</si>
  <si>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</si>
  <si>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</si>
  <si>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</si>
  <si>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</si>
  <si>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</si>
  <si>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</si>
  <si>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</si>
  <si>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</si>
  <si>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</si>
  <si>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</si>
  <si>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</si>
  <si>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</si>
  <si>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</si>
  <si>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</si>
  <si>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</si>
  <si>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</si>
  <si>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</si>
  <si>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</si>
  <si>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</si>
  <si>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</si>
  <si>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</si>
  <si>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</si>
  <si>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</si>
  <si>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</si>
  <si>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</si>
  <si>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</si>
  <si>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</si>
  <si>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</si>
  <si>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</si>
  <si>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</si>
  <si>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</si>
  <si>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</si>
  <si>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</si>
  <si>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</si>
  <si>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</si>
  <si>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</si>
  <si>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</si>
  <si>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</si>
  <si>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</si>
  <si>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</si>
  <si>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</si>
  <si>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</si>
  <si>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</si>
  <si>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</si>
  <si>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</si>
  <si>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</si>
  <si>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</si>
  <si>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</si>
  <si>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</si>
  <si>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</si>
  <si>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</si>
  <si>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</si>
  <si>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</si>
  <si>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</si>
  <si>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</si>
  <si>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</si>
  <si>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</si>
  <si>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</si>
  <si>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</si>
  <si>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</si>
  <si>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</si>
  <si>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</si>
  <si>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</si>
  <si>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</si>
  <si>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</si>
  <si>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</si>
  <si>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</si>
  <si>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</si>
  <si>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</si>
  <si>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</si>
  <si>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</si>
  <si>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</si>
  <si>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</si>
  <si>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</si>
  <si>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</si>
  <si>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</si>
  <si>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</si>
  <si>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</si>
  <si>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</si>
  <si>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</si>
  <si>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</si>
  <si>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</si>
  <si>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</si>
  <si>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</si>
  <si>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</si>
  <si>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</si>
  <si>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</si>
  <si>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</si>
  <si>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</si>
  <si>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</si>
  <si>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</si>
  <si>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</si>
  <si>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</si>
  <si>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</si>
  <si>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</si>
  <si>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</si>
  <si>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</si>
  <si>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</si>
  <si>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</si>
  <si>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</si>
  <si>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</si>
  <si>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</si>
  <si>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</si>
  <si>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</si>
  <si>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</si>
  <si>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</si>
  <si>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</si>
  <si>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</si>
  <si>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</si>
  <si>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</si>
  <si>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</si>
  <si>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</si>
  <si>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</si>
  <si>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</si>
  <si>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</si>
  <si>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</si>
  <si>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</si>
  <si>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</si>
  <si>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</si>
  <si>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</si>
  <si>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</si>
  <si>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</si>
  <si>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</si>
  <si>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</si>
  <si>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</si>
  <si>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</si>
  <si>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</si>
  <si>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</si>
  <si>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</si>
  <si>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</si>
  <si>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</si>
  <si>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</si>
  <si>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</si>
  <si>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</si>
  <si>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</si>
  <si>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</si>
  <si>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</si>
  <si>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</si>
  <si>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</si>
  <si>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</si>
  <si>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</si>
  <si>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</si>
  <si>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</si>
  <si>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</si>
  <si>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</si>
  <si>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</si>
  <si>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</si>
  <si>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</si>
  <si>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</si>
  <si>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</si>
  <si>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</si>
  <si>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</si>
  <si>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</si>
  <si>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</si>
  <si>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</si>
  <si>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</si>
  <si>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</si>
  <si>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</si>
  <si>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</si>
  <si>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</si>
  <si>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</si>
  <si>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</si>
  <si>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</si>
  <si>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</si>
  <si>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</si>
  <si>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</si>
  <si>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</si>
  <si>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</si>
  <si>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</si>
  <si>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</si>
  <si>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</si>
  <si>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</si>
  <si>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</si>
  <si>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</si>
  <si>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</si>
  <si>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</si>
  <si>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</si>
  <si>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</si>
  <si>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</si>
  <si>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</si>
  <si>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</si>
  <si>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</si>
  <si>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</si>
  <si>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</si>
  <si>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</si>
  <si>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</si>
  <si>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</si>
  <si>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</si>
  <si>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</si>
  <si>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</si>
  <si>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</si>
  <si>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</si>
  <si>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</si>
  <si>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</si>
  <si>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</si>
  <si>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</si>
  <si>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</si>
  <si>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</si>
  <si>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</si>
  <si>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</si>
  <si>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</si>
  <si>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</si>
  <si>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</si>
  <si>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</si>
  <si>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</si>
  <si>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</si>
  <si>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</si>
  <si>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</si>
  <si>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</si>
  <si>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</si>
  <si>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</si>
  <si>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</si>
  <si>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</si>
  <si>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</si>
  <si>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</si>
  <si>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</si>
  <si>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</si>
  <si>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</si>
  <si>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</si>
  <si>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</si>
  <si>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</si>
  <si>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</si>
  <si>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</si>
  <si>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</si>
  <si>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</si>
  <si>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</si>
  <si>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</si>
  <si>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</si>
  <si>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</si>
  <si>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</si>
  <si>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</si>
  <si>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</si>
  <si>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</si>
  <si>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</si>
  <si>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</si>
  <si>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</si>
  <si>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</si>
  <si>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</si>
  <si>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</si>
  <si>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</si>
  <si>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</si>
  <si>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</si>
  <si>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</si>
  <si>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</si>
  <si>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</si>
  <si>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</si>
  <si>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</si>
  <si>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</si>
  <si>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</si>
  <si>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</si>
  <si>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</si>
  <si>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</si>
  <si>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</si>
  <si>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</si>
  <si>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</si>
  <si>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</si>
  <si>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</si>
  <si>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</si>
  <si>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</si>
  <si>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</si>
  <si>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</si>
  <si>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</si>
  <si>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</si>
  <si>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</si>
  <si>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</si>
  <si>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</si>
  <si>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</si>
  <si>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</si>
  <si>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</si>
  <si>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</si>
  <si>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</si>
  <si>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</si>
  <si>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</si>
  <si>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</si>
  <si>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</si>
  <si>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</si>
  <si>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</si>
  <si>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</si>
  <si>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</si>
  <si>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</si>
  <si>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</si>
  <si>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</si>
  <si>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</si>
  <si>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</si>
  <si>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</si>
  <si>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</si>
  <si>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</si>
  <si>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</si>
  <si>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</si>
  <si>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</si>
  <si>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</si>
  <si>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</si>
  <si>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</si>
  <si>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</si>
  <si>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</si>
  <si>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</si>
  <si>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</si>
  <si>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</si>
  <si>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</si>
  <si>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</si>
  <si>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</si>
  <si>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</si>
  <si>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</si>
  <si>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</si>
  <si>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</si>
  <si>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</si>
  <si>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</si>
  <si>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</si>
  <si>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</si>
  <si>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</si>
  <si>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</si>
  <si>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</si>
  <si>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</si>
  <si>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</si>
  <si>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</si>
  <si>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</si>
  <si>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</si>
  <si>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</si>
  <si>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</si>
  <si>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</si>
  <si>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</si>
  <si>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</si>
  <si>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</si>
  <si>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</si>
  <si>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</si>
  <si>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</si>
  <si>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</si>
  <si>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</si>
  <si>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</si>
  <si>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</si>
  <si>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</si>
  <si>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</si>
  <si>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</si>
  <si>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</si>
  <si>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</si>
  <si>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</si>
  <si>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</si>
  <si>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</si>
  <si>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</si>
  <si>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</si>
  <si>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</si>
  <si>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</si>
  <si>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</si>
  <si>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</si>
  <si>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</si>
  <si>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</si>
  <si>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</si>
  <si>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</si>
  <si>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</si>
  <si>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</si>
  <si>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</si>
  <si>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</si>
  <si>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</si>
  <si>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</si>
  <si>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</si>
  <si>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</si>
  <si>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</si>
  <si>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</si>
  <si>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</si>
  <si>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</si>
  <si>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</si>
  <si>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</si>
  <si>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</si>
  <si>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</si>
  <si>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</si>
  <si>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</si>
  <si>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</si>
  <si>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</si>
  <si>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</si>
  <si>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</si>
  <si>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</si>
  <si>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</si>
  <si>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</si>
  <si>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</si>
  <si>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</si>
  <si>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</si>
  <si>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</si>
  <si>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</si>
  <si>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</si>
  <si>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</si>
  <si>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</si>
  <si>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</si>
  <si>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</si>
  <si>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</si>
  <si>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</si>
  <si>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</si>
  <si>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</si>
  <si>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</si>
  <si>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</si>
  <si>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</si>
  <si>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</si>
  <si>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</si>
  <si>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</si>
  <si>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</si>
  <si>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</si>
  <si>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</si>
  <si>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</si>
  <si>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</si>
  <si>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</si>
  <si>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</si>
  <si>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</si>
  <si>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</si>
  <si>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</si>
  <si>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</si>
  <si>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</si>
  <si>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</si>
  <si>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</si>
  <si>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</si>
  <si>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</si>
  <si>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</si>
  <si>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</si>
  <si>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</si>
  <si>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</si>
  <si>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</si>
  <si>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</si>
  <si>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</si>
  <si>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</si>
  <si>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</si>
  <si>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</si>
  <si>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</si>
  <si>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</si>
  <si>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</si>
  <si>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</si>
  <si>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</si>
  <si>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</si>
  <si>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</si>
  <si>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</si>
  <si>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</si>
  <si>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</si>
  <si>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</si>
  <si>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</si>
  <si>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</si>
  <si>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</si>
  <si>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</si>
  <si>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</si>
  <si>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</si>
  <si>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</si>
  <si>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</si>
  <si>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</si>
  <si>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</si>
  <si>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</si>
  <si>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</si>
  <si>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</si>
  <si>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</si>
  <si>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</si>
  <si>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</si>
  <si>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</si>
  <si>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</si>
  <si>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</si>
  <si>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</si>
  <si>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</si>
  <si>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</si>
  <si>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</si>
  <si>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</si>
  <si>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</si>
  <si>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</si>
  <si>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</si>
  <si>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</si>
  <si>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</si>
  <si>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</si>
  <si>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</si>
  <si>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</si>
  <si>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</si>
  <si>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</si>
  <si>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</si>
  <si>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</si>
  <si>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</si>
  <si>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</si>
  <si>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</si>
  <si>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</si>
  <si>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</si>
  <si>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</si>
  <si>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</si>
  <si>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</si>
  <si>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</si>
  <si>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</si>
  <si>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</si>
  <si>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</si>
  <si>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</si>
  <si>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</si>
  <si>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</si>
  <si>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</si>
  <si>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</si>
  <si>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</si>
  <si>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</si>
  <si>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</si>
  <si>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</si>
  <si>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</si>
  <si>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</si>
  <si>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</si>
  <si>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</si>
  <si>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</si>
  <si>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</si>
  <si>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</si>
  <si>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</si>
  <si>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</si>
  <si>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</si>
  <si>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</si>
  <si>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</si>
  <si>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</si>
  <si>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</si>
  <si>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</si>
  <si>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</si>
  <si>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</si>
  <si>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</si>
  <si>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</si>
  <si>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</si>
  <si>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</si>
  <si>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</si>
  <si>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</si>
  <si>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</si>
  <si>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</si>
  <si>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</si>
  <si>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</si>
  <si>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</si>
  <si>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</si>
  <si>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</si>
  <si>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</si>
  <si>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</si>
  <si>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</si>
  <si>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</si>
  <si>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</si>
  <si>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</si>
  <si>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</si>
  <si>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</si>
  <si>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</si>
  <si>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</si>
  <si>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</si>
  <si>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</si>
  <si>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</si>
  <si>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</si>
  <si>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</si>
  <si>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</si>
  <si>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</si>
  <si>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</si>
  <si>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</si>
  <si>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</si>
  <si>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</si>
  <si>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</si>
  <si>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</si>
  <si>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</si>
  <si>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</si>
  <si>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</si>
  <si>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</si>
  <si>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</si>
  <si>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</si>
  <si>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</si>
  <si>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</si>
  <si>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</si>
  <si>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</si>
  <si>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</si>
  <si>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</si>
  <si>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</si>
  <si>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</si>
  <si>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</si>
  <si>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</si>
  <si>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</si>
  <si>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</si>
  <si>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</si>
  <si>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</si>
  <si>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</si>
  <si>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</si>
  <si>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</si>
  <si>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</si>
  <si>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</si>
  <si>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</si>
  <si>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</si>
  <si>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</si>
  <si>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</si>
  <si>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</si>
  <si>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</si>
  <si>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</si>
  <si>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</si>
  <si>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</si>
  <si>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</si>
  <si>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</si>
  <si>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</si>
  <si>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</si>
  <si>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</si>
  <si>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</si>
  <si>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</si>
  <si>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</si>
  <si>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</si>
  <si>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</si>
  <si>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</si>
  <si>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</si>
  <si>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</si>
  <si>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</si>
  <si>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</si>
  <si>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</si>
  <si>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</si>
  <si>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</si>
  <si>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</si>
  <si>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</si>
  <si>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</si>
  <si>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</si>
  <si>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</si>
  <si>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</si>
  <si>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</si>
  <si>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</si>
  <si>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</si>
  <si>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</si>
  <si>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</si>
  <si>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</si>
  <si>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</si>
  <si>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</si>
  <si>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</si>
  <si>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</si>
  <si>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</si>
  <si>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</si>
  <si>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</si>
  <si>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</si>
  <si>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</si>
  <si>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</si>
  <si>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</si>
  <si>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</si>
  <si>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</si>
  <si>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</si>
  <si>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</si>
  <si>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</si>
  <si>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</si>
  <si>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</si>
  <si>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</si>
  <si>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</si>
  <si>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</si>
  <si>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</si>
  <si>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</si>
  <si>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</si>
  <si>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</si>
  <si>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</si>
  <si>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</si>
  <si>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</si>
  <si>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</si>
  <si>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</si>
  <si>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</si>
  <si>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</si>
  <si>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</si>
  <si>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</si>
  <si>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</si>
  <si>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</si>
  <si>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</si>
  <si>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</si>
  <si>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</si>
  <si>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</si>
  <si>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</si>
  <si>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</si>
  <si>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</si>
  <si>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</si>
  <si>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</si>
  <si>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</si>
  <si>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</si>
  <si>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</si>
  <si>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</si>
  <si>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</si>
  <si>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</si>
  <si>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</si>
  <si>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</si>
  <si>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</si>
  <si>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</si>
  <si>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</si>
  <si>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</si>
  <si>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</si>
  <si>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</si>
  <si>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</si>
  <si>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</si>
  <si>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</si>
  <si>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</si>
  <si>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</si>
  <si>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</si>
  <si>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</si>
  <si>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</si>
  <si>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</si>
  <si>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</si>
  <si>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</si>
  <si>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</si>
  <si>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</si>
  <si>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</si>
  <si>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</si>
  <si>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</si>
  <si>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</si>
  <si>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</si>
  <si>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</si>
  <si>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</si>
  <si>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</si>
  <si>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</si>
  <si>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</si>
  <si>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</si>
  <si>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</si>
  <si>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</si>
  <si>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</si>
  <si>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</si>
  <si>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</si>
  <si>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</si>
  <si>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</si>
  <si>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</si>
  <si>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</si>
  <si>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</si>
  <si>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</si>
  <si>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</si>
  <si>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</si>
  <si>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</si>
  <si>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</si>
  <si>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</si>
  <si>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</si>
  <si>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</si>
  <si>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</si>
  <si>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</si>
  <si>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</si>
  <si>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</si>
  <si>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</si>
  <si>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</si>
  <si>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</si>
  <si>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</si>
  <si>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</si>
  <si>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</si>
  <si>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</si>
  <si>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</si>
  <si>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</si>
  <si>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</si>
  <si>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</si>
  <si>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</si>
  <si>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</si>
  <si>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</si>
  <si>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</si>
  <si>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</si>
  <si>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</si>
  <si>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</si>
  <si>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</si>
  <si>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</si>
  <si>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</si>
  <si>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</si>
  <si>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</si>
  <si>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</si>
  <si>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</si>
  <si>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</si>
  <si>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</si>
  <si>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</si>
  <si>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</si>
  <si>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</si>
  <si>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</si>
  <si>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</si>
  <si>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</si>
  <si>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</si>
  <si>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</si>
  <si>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</si>
  <si>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</si>
  <si>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</si>
  <si>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</si>
  <si>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</si>
  <si>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</si>
  <si>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</si>
  <si>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</si>
  <si>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</si>
  <si>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</si>
  <si>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</si>
  <si>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</si>
  <si>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</si>
  <si>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</si>
  <si>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</si>
  <si>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</si>
  <si>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</si>
  <si>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</si>
  <si>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</si>
  <si>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</si>
  <si>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</si>
  <si>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</si>
  <si>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</si>
  <si>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</si>
  <si>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</si>
  <si>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</si>
  <si>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</si>
  <si>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</si>
  <si>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</si>
  <si>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</si>
  <si>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</si>
  <si>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</si>
  <si>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</si>
  <si>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</si>
  <si>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</si>
  <si>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</si>
  <si>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</si>
  <si>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</si>
  <si>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</si>
  <si>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</si>
  <si>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</si>
  <si>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</si>
  <si>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</si>
  <si>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</si>
  <si>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</si>
  <si>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</si>
  <si>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</si>
  <si>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</si>
  <si>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</si>
  <si>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</si>
  <si>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</si>
  <si>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</si>
  <si>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</si>
  <si>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</si>
  <si>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</si>
  <si>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</si>
  <si>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</si>
  <si>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</si>
  <si>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</si>
  <si>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</si>
  <si>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</si>
  <si>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</si>
  <si>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</si>
  <si>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</si>
  <si>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</si>
  <si>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</si>
  <si>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</si>
  <si>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</si>
  <si>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</si>
  <si>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</si>
  <si>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</si>
  <si>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</si>
  <si>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</si>
  <si>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</si>
  <si>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</si>
  <si>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</si>
  <si>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</si>
  <si>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</si>
  <si>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</si>
  <si>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</si>
  <si>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</si>
  <si>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</si>
  <si>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</si>
  <si>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</si>
  <si>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</si>
  <si>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</si>
  <si>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</si>
  <si>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</si>
  <si>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</si>
  <si>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</si>
  <si>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</si>
  <si>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</si>
  <si>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</si>
  <si>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</si>
  <si>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</si>
  <si>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</si>
  <si>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</si>
  <si>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</si>
  <si>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</si>
  <si>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</si>
  <si>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</si>
  <si>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</si>
  <si>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</si>
  <si>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</si>
  <si>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</si>
  <si>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</si>
  <si>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</si>
  <si>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</si>
  <si>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</si>
  <si>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</si>
  <si>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</si>
  <si>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</si>
  <si>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</si>
  <si>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</si>
  <si>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</si>
  <si>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</si>
  <si>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</si>
  <si>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</si>
  <si>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</si>
  <si>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</si>
  <si>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</si>
  <si>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</si>
  <si>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</si>
  <si>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</si>
  <si>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</si>
  <si>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</si>
  <si>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</si>
  <si>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</si>
  <si>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</si>
  <si>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</si>
  <si>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</si>
  <si>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</si>
  <si>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</si>
  <si>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</si>
  <si>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</si>
  <si>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</si>
  <si>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</si>
  <si>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</si>
  <si>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</si>
  <si>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</si>
  <si>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</si>
  <si>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</si>
  <si>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</si>
  <si>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</si>
  <si>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</si>
  <si>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</si>
  <si>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</si>
  <si>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</si>
  <si>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</si>
  <si>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</si>
  <si>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</si>
  <si>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</si>
  <si>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</si>
  <si>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</si>
  <si>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</si>
  <si>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</si>
  <si>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</si>
  <si>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</si>
  <si>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</si>
  <si>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</si>
  <si>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</si>
  <si>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</si>
  <si>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</si>
  <si>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</si>
  <si>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</si>
  <si>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</si>
  <si>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</si>
  <si>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</si>
  <si>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</si>
  <si>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</si>
  <si>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</si>
  <si>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</si>
  <si>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</si>
  <si>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</si>
  <si>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</si>
  <si>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</si>
  <si>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</si>
  <si>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</si>
  <si>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</si>
  <si>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</si>
  <si>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</si>
  <si>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</si>
  <si>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</si>
  <si>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</si>
  <si>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</si>
  <si>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</si>
  <si>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</si>
  <si>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</si>
  <si>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</si>
  <si>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</si>
  <si>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</si>
  <si>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</si>
  <si>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</si>
  <si>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</si>
  <si>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</si>
  <si>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</si>
  <si>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</si>
  <si>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</si>
  <si>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</si>
  <si>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</si>
  <si>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</si>
  <si>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</si>
  <si>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</si>
  <si>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</si>
  <si>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</si>
  <si>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</si>
  <si>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</si>
  <si>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</si>
  <si>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</si>
  <si>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</si>
  <si>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</si>
  <si>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</si>
  <si>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</si>
  <si>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</si>
  <si>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</si>
  <si>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</si>
  <si>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</si>
  <si>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</si>
  <si>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</si>
  <si>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</si>
  <si>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</si>
  <si>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</si>
  <si>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</si>
  <si>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</si>
  <si>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</si>
  <si>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</si>
  <si>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</si>
  <si>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</si>
  <si>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</si>
  <si>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</si>
  <si>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</si>
  <si>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</si>
  <si>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</si>
  <si>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</si>
  <si>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</si>
  <si>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</si>
  <si>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</si>
  <si>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</si>
  <si>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</si>
  <si>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</si>
  <si>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</si>
  <si>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</si>
  <si>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</si>
  <si>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</si>
  <si>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</si>
  <si>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</si>
  <si>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</si>
  <si>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</si>
  <si>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</si>
  <si>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</si>
  <si>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</si>
  <si>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</si>
  <si>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</si>
  <si>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</si>
  <si>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</si>
  <si>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</si>
  <si>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</si>
  <si>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</si>
  <si>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</si>
  <si>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</si>
  <si>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</si>
  <si>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</si>
  <si>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</si>
  <si>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</si>
  <si>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</si>
  <si>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</si>
  <si>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</si>
  <si>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</si>
  <si>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</si>
  <si>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</si>
  <si>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</si>
  <si>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</si>
  <si>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</si>
  <si>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</si>
  <si>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</si>
  <si>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</si>
  <si>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</si>
  <si>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</si>
  <si>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</si>
  <si>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</si>
  <si>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</si>
  <si>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</si>
  <si>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</si>
  <si>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</si>
  <si>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</si>
  <si>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</si>
  <si>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</si>
  <si>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</si>
  <si>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</si>
  <si>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</si>
  <si>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</si>
  <si>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</si>
  <si>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</si>
  <si>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</si>
  <si>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</si>
  <si>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</si>
  <si>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</si>
  <si>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</si>
  <si>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</si>
  <si>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</si>
  <si>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</si>
  <si>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</si>
  <si>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</si>
  <si>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</si>
  <si>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</si>
  <si>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</si>
  <si>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</si>
  <si>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</si>
  <si>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</si>
  <si>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</si>
  <si>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</si>
  <si>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</si>
  <si>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</si>
  <si>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</si>
  <si>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</si>
  <si>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</si>
  <si>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</si>
  <si>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</si>
  <si>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</si>
  <si>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</si>
  <si>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</si>
  <si>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</si>
  <si>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</si>
  <si>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</si>
  <si>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</si>
  <si>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</si>
  <si>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</si>
  <si>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</si>
  <si>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</si>
  <si>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</si>
  <si>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</si>
  <si>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</si>
  <si>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</si>
  <si>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</si>
  <si>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</si>
  <si>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</si>
  <si>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</si>
  <si>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</si>
  <si>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</si>
  <si>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</si>
  <si>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</si>
  <si>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</si>
  <si>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</si>
  <si>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</si>
  <si>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</si>
  <si>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</si>
  <si>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</si>
  <si>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</si>
  <si>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</si>
  <si>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</si>
  <si>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</si>
  <si>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</si>
  <si>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</si>
  <si>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</si>
  <si>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</si>
  <si>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</si>
  <si>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</si>
  <si>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</si>
  <si>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</si>
  <si>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</si>
  <si>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</si>
  <si>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</si>
  <si>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</si>
  <si>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</si>
  <si>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</si>
  <si>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</si>
  <si>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</si>
  <si>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</si>
  <si>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</si>
  <si>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</si>
  <si>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</si>
  <si>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</si>
  <si>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</si>
  <si>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</si>
  <si>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</si>
  <si>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</si>
  <si>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</si>
  <si>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</si>
  <si>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</si>
  <si>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</si>
  <si>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</si>
  <si>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</si>
  <si>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</si>
  <si>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</si>
  <si>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</si>
  <si>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</si>
  <si>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</si>
  <si>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</si>
  <si>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</si>
  <si>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</si>
  <si>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</si>
  <si>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</si>
  <si>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</si>
  <si>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</si>
  <si>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</si>
  <si>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</si>
  <si>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</si>
  <si>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</si>
  <si>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</si>
  <si>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</si>
  <si>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</si>
  <si>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</si>
  <si>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</si>
  <si>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</si>
  <si>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</si>
  <si>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</si>
  <si>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</si>
  <si>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</si>
  <si>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</si>
  <si>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</si>
  <si>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</si>
  <si>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</si>
  <si>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</si>
  <si>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</si>
  <si>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</si>
  <si>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</si>
  <si>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</si>
  <si>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</si>
  <si>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</si>
  <si>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</si>
  <si>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</si>
  <si>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</si>
  <si>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</si>
  <si>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</si>
  <si>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</si>
  <si>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</si>
  <si>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</si>
  <si>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</si>
  <si>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</si>
  <si>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</si>
  <si>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</si>
  <si>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</si>
  <si>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</si>
  <si>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</si>
  <si>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</si>
  <si>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</si>
  <si>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</si>
  <si>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</si>
  <si>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</si>
  <si>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</si>
  <si>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</si>
  <si>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</si>
  <si>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</si>
  <si>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</si>
  <si>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</si>
  <si>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</si>
  <si>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</si>
  <si>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</si>
  <si>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</si>
  <si>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</si>
  <si>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</si>
  <si>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</si>
  <si>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</si>
  <si>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</si>
  <si>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</si>
  <si>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</si>
  <si>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</si>
  <si>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</si>
  <si>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</si>
  <si>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</si>
  <si>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</si>
  <si>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</si>
  <si>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</si>
  <si>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</si>
  <si>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</si>
  <si>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</si>
  <si>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</si>
  <si>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</si>
  <si>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</si>
  <si>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</si>
  <si>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</si>
  <si>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</si>
  <si>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</si>
  <si>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</si>
  <si>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</si>
  <si>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</si>
  <si>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</si>
  <si>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</si>
  <si>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</si>
  <si>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</si>
  <si>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</si>
  <si>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</si>
  <si>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</si>
  <si>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</si>
  <si>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</si>
  <si>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</si>
  <si>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</si>
  <si>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</si>
  <si>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</si>
  <si>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</si>
  <si>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</si>
  <si>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</si>
  <si>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</si>
  <si>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</si>
  <si>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</si>
  <si>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</si>
  <si>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</si>
  <si>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</si>
  <si>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</si>
  <si>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</si>
  <si>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</si>
  <si>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</si>
  <si>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</si>
  <si>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</si>
  <si>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</si>
  <si>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</si>
  <si>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</si>
  <si>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</si>
  <si>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</si>
  <si>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</si>
  <si>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</si>
  <si>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</si>
  <si>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</si>
  <si>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</si>
  <si>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</si>
  <si>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</si>
  <si>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</si>
  <si>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</si>
  <si>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</si>
  <si>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</si>
  <si>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</si>
  <si>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</si>
  <si>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</si>
  <si>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</si>
  <si>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</si>
  <si>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</si>
  <si>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</si>
  <si>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</si>
  <si>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</si>
  <si>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</si>
  <si>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</si>
  <si>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</si>
  <si>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</si>
  <si>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</si>
  <si>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</si>
  <si>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</si>
  <si>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</si>
  <si>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</si>
  <si>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</si>
  <si>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</si>
  <si>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</si>
  <si>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</si>
  <si>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</si>
  <si>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</si>
  <si>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</si>
  <si>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</si>
  <si>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</si>
  <si>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</si>
  <si>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</si>
  <si>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</si>
  <si>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</si>
  <si>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</si>
  <si>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</si>
  <si>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</si>
  <si>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</si>
  <si>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</si>
  <si>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</si>
  <si>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</si>
  <si>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</si>
  <si>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</si>
  <si>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</si>
  <si>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</si>
  <si>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</si>
  <si>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</si>
  <si>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</si>
  <si>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</si>
  <si>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</si>
  <si>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</si>
  <si>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</si>
  <si>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</si>
  <si>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</si>
  <si>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</si>
  <si>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</si>
  <si>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</si>
  <si>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</si>
  <si>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</si>
  <si>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</si>
  <si>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</si>
  <si>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</si>
  <si>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</si>
  <si>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</si>
  <si>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</si>
  <si>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</si>
  <si>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</si>
  <si>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</si>
  <si>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</si>
  <si>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</si>
  <si>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</si>
  <si>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</si>
  <si>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</si>
  <si>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</si>
  <si>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</si>
  <si>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</si>
  <si>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</si>
  <si>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</si>
  <si>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</si>
  <si>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</si>
  <si>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</si>
  <si>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</si>
  <si>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</si>
  <si>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</si>
  <si>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</si>
  <si>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</si>
  <si>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</si>
  <si>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</si>
  <si>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</si>
  <si>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</si>
  <si>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</si>
  <si>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</si>
  <si>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</si>
  <si>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</si>
  <si>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</si>
  <si>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</si>
  <si>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</si>
  <si>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</si>
  <si>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</si>
  <si>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</si>
  <si>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</si>
  <si>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</si>
  <si>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</si>
  <si>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</si>
  <si>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</si>
  <si>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</si>
  <si>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</si>
  <si>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</si>
  <si>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</si>
  <si>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</si>
  <si>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</si>
  <si>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</si>
  <si>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</si>
  <si>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</si>
  <si>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</si>
  <si>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</si>
  <si>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</si>
  <si>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</si>
  <si>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</si>
  <si>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</si>
  <si>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</si>
  <si>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</si>
  <si>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</si>
  <si>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</si>
  <si>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</si>
  <si>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</si>
  <si>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</si>
  <si>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</si>
  <si>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</si>
  <si>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</si>
  <si>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</si>
  <si>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</si>
  <si>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</si>
  <si>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</si>
  <si>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</si>
  <si>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</si>
  <si>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</si>
  <si>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</si>
  <si>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</si>
  <si>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</si>
  <si>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</si>
  <si>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</si>
  <si>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</si>
  <si>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</si>
  <si>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</si>
  <si>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</si>
  <si>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</si>
  <si>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</si>
  <si>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</si>
  <si>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</si>
  <si>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</si>
  <si>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</si>
  <si>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</si>
  <si>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</si>
  <si>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</si>
  <si>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</si>
  <si>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</si>
  <si>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</si>
  <si>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</si>
  <si>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</si>
  <si>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</si>
  <si>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</si>
  <si>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</si>
  <si>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</si>
  <si>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</si>
  <si>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</si>
  <si>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</si>
  <si>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</si>
  <si>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</si>
  <si>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</si>
  <si>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</si>
  <si>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</si>
  <si>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</si>
  <si>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</si>
  <si>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</si>
  <si>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</si>
  <si>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</si>
  <si>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</si>
  <si>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</si>
  <si>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</si>
  <si>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</si>
  <si>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</si>
  <si>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</si>
  <si>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</si>
  <si>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</si>
  <si>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</si>
  <si>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</si>
  <si>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</si>
  <si>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</si>
  <si>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</si>
  <si>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</si>
  <si>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</si>
  <si>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</si>
  <si>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</si>
  <si>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</si>
  <si>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</si>
  <si>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</si>
  <si>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</si>
  <si>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</si>
  <si>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</si>
  <si>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</si>
  <si>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</si>
  <si>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</si>
  <si>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</si>
  <si>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</si>
  <si>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</si>
  <si>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</si>
  <si>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</si>
  <si>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</si>
  <si>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</si>
  <si>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</si>
  <si>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</si>
  <si>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</si>
  <si>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</si>
  <si>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</si>
  <si>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</si>
  <si>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</si>
  <si>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</si>
  <si>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</si>
  <si>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</si>
  <si>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</si>
  <si>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</si>
  <si>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</si>
  <si>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</si>
  <si>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</si>
  <si>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</si>
  <si>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</si>
  <si>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</si>
  <si>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</si>
  <si>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</si>
  <si>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</si>
  <si>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</si>
  <si>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</si>
  <si>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</si>
  <si>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</si>
  <si>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</si>
  <si>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</si>
  <si>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</si>
  <si>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</si>
  <si>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</si>
  <si>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</si>
  <si>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</si>
  <si>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</si>
  <si>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</si>
  <si>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</si>
  <si>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</si>
  <si>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</si>
  <si>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</si>
  <si>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</si>
  <si>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</si>
  <si>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</si>
  <si>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</si>
  <si>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</si>
  <si>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</si>
  <si>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</si>
  <si>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</si>
  <si>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</si>
  <si>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</si>
  <si>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</si>
  <si>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</si>
  <si>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</si>
  <si>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</si>
  <si>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</si>
  <si>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</si>
  <si>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</si>
  <si>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</si>
  <si>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</si>
  <si>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</si>
  <si>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</si>
  <si>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</si>
  <si>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</si>
  <si>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</si>
  <si>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</si>
  <si>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</si>
  <si>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</si>
  <si>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</si>
  <si>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</si>
  <si>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</si>
  <si>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</si>
  <si>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</si>
  <si>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</si>
  <si>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</si>
  <si>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</si>
  <si>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</si>
  <si>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</si>
  <si>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</si>
  <si>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</si>
  <si>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</si>
  <si>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</si>
  <si>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</si>
  <si>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</si>
  <si>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</si>
  <si>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</si>
  <si>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</si>
  <si>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</si>
  <si>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</si>
  <si>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</si>
  <si>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</si>
  <si>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</si>
  <si>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</si>
  <si>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</si>
  <si>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</si>
  <si>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</si>
  <si>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</si>
  <si>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</si>
  <si>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</si>
  <si>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</si>
  <si>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</si>
  <si>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</si>
  <si>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</si>
  <si>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</si>
  <si>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</si>
  <si>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</si>
  <si>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</si>
  <si>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</si>
  <si>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</si>
  <si>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</si>
  <si>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</si>
  <si>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</si>
  <si>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</si>
  <si>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</si>
  <si>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</si>
  <si>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</si>
  <si>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</si>
  <si>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</si>
  <si>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</si>
  <si>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</si>
  <si>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</si>
  <si>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</si>
  <si>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</si>
  <si>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</si>
  <si>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</si>
  <si>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</si>
  <si>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</si>
  <si>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</si>
  <si>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</si>
  <si>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</si>
  <si>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</si>
  <si>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</si>
  <si>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</si>
  <si>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</si>
  <si>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</si>
  <si>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</si>
  <si>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</si>
  <si>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</si>
  <si>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</si>
  <si>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</si>
  <si>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</si>
  <si>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</si>
  <si>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</si>
  <si>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</si>
  <si>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</si>
  <si>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</si>
  <si>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</si>
  <si>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</si>
  <si>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</si>
  <si>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</si>
  <si>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</si>
  <si>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</si>
  <si>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</si>
  <si>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</si>
  <si>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</si>
  <si>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</si>
  <si>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</si>
  <si>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</si>
  <si>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</si>
  <si>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</si>
  <si>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</si>
  <si>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</si>
  <si>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</si>
  <si>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</si>
  <si>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</si>
  <si>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</si>
  <si>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</si>
  <si>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</si>
  <si>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</si>
  <si>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</si>
  <si>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</si>
  <si>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</si>
  <si>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</si>
  <si>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</si>
  <si>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</si>
  <si>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</si>
  <si>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</si>
  <si>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</si>
  <si>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</si>
  <si>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</si>
  <si>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</si>
  <si>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</si>
  <si>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</si>
  <si>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</si>
  <si>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</si>
  <si>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</si>
  <si>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</si>
  <si>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</si>
  <si>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</si>
  <si>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</si>
  <si>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</si>
  <si>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</si>
  <si>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</si>
  <si>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</si>
  <si>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</si>
  <si>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</si>
  <si>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</si>
  <si>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</si>
  <si>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</si>
  <si>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</si>
  <si>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</si>
  <si>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</si>
  <si>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</si>
  <si>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</si>
  <si>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</si>
  <si>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</si>
  <si>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</si>
  <si>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</si>
  <si>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</si>
  <si>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</si>
  <si>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</si>
  <si>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</si>
  <si>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</si>
  <si>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</si>
  <si>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</si>
  <si>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</si>
  <si>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</si>
  <si>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</si>
  <si>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</si>
  <si>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</si>
  <si>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</si>
  <si>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</si>
  <si>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</si>
  <si>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</si>
  <si>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</si>
  <si>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</si>
  <si>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</si>
  <si>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</si>
  <si>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</si>
  <si>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</si>
  <si>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</si>
  <si>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</si>
  <si>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</si>
  <si>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</si>
  <si>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</si>
  <si>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</si>
  <si>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</si>
  <si>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</si>
  <si>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</si>
  <si>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</si>
  <si>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</si>
  <si>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</si>
  <si>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</si>
  <si>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</si>
  <si>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</si>
  <si>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</si>
  <si>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</si>
  <si>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</si>
  <si>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</si>
  <si>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</si>
  <si>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</si>
  <si>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</si>
  <si>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</si>
  <si>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</si>
  <si>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</si>
  <si>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</si>
  <si>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</si>
  <si>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</si>
  <si>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</si>
  <si>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</si>
  <si>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</si>
  <si>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</si>
  <si>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</si>
  <si>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</si>
  <si>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</si>
  <si>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</si>
  <si>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</si>
  <si>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</si>
  <si>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</si>
  <si>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</si>
  <si>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</si>
  <si>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</si>
  <si>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</si>
  <si>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</si>
  <si>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</si>
  <si>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</si>
  <si>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</si>
  <si>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</si>
  <si>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</si>
  <si>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</si>
  <si>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</si>
  <si>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</si>
  <si>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</si>
  <si>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</si>
  <si>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</si>
  <si>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</si>
  <si>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</si>
  <si>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</si>
  <si>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</si>
  <si>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</si>
  <si>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</si>
  <si>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</si>
  <si>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</si>
  <si>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</si>
  <si>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</si>
  <si>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</si>
  <si>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</si>
  <si>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</si>
  <si>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</si>
  <si>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</si>
  <si>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</si>
  <si>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</si>
  <si>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</si>
  <si>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</si>
  <si>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</si>
  <si>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</si>
  <si>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</si>
  <si>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</si>
  <si>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</si>
  <si>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</si>
  <si>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</si>
  <si>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</si>
  <si>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</si>
  <si>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</si>
  <si>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</si>
  <si>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</si>
  <si>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</si>
  <si>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</si>
  <si>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</si>
  <si>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</si>
  <si>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</si>
  <si>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</si>
  <si>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</si>
  <si>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</si>
  <si>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</si>
  <si>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</si>
  <si>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</si>
  <si>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</si>
  <si>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</si>
  <si>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</si>
  <si>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</si>
  <si>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</si>
  <si>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</si>
  <si>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</si>
  <si>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</si>
  <si>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</si>
  <si>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</si>
  <si>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</si>
  <si>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</si>
  <si>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</si>
  <si>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</si>
  <si>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</si>
  <si>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</si>
  <si>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</si>
  <si>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</si>
  <si>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</si>
  <si>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</si>
  <si>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</si>
  <si>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</si>
  <si>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</si>
  <si>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</si>
  <si>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</si>
  <si>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</si>
  <si>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</si>
  <si>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</si>
  <si>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</si>
  <si>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</si>
  <si>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</si>
  <si>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</si>
  <si>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</si>
  <si>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</si>
  <si>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</si>
  <si>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</si>
  <si>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</si>
  <si>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</si>
  <si>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</si>
  <si>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</si>
  <si>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</si>
  <si>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</si>
  <si>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</si>
  <si>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</si>
  <si>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</si>
  <si>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</si>
  <si>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</si>
  <si>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</si>
  <si>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</si>
  <si>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</si>
  <si>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</si>
  <si>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</si>
  <si>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</si>
  <si>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</si>
  <si>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</si>
  <si>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</si>
  <si>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</si>
  <si>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</si>
  <si>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</si>
  <si>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</si>
  <si>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</si>
  <si>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</si>
  <si>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</si>
  <si>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</si>
  <si>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</si>
  <si>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</si>
  <si>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</si>
  <si>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</si>
  <si>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</si>
  <si>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</si>
  <si>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</si>
  <si>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</si>
  <si>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</si>
  <si>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</si>
  <si>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</si>
  <si>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</si>
  <si>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</si>
  <si>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</si>
  <si>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</si>
  <si>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</si>
  <si>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</si>
  <si>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</si>
  <si>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</si>
  <si>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</si>
  <si>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</si>
  <si>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</si>
  <si>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</si>
  <si>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</si>
  <si>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</si>
  <si>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</si>
  <si>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</si>
  <si>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</si>
  <si>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</si>
  <si>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</si>
  <si>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</si>
  <si>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</si>
  <si>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</si>
  <si>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</si>
  <si>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</si>
  <si>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</si>
  <si>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</si>
  <si>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</si>
  <si>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</si>
  <si>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</si>
  <si>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</si>
  <si>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</si>
  <si>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</si>
  <si>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</si>
  <si>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</si>
  <si>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</si>
  <si>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</si>
  <si>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</si>
  <si>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</si>
  <si>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</si>
  <si>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</si>
  <si>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</si>
  <si>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</si>
  <si>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</si>
  <si>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</si>
  <si>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</si>
  <si>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</si>
  <si>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</si>
  <si>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</si>
  <si>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</si>
  <si>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</si>
  <si>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</si>
  <si>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</si>
  <si>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</si>
  <si>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</si>
  <si>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</si>
  <si>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</si>
  <si>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</si>
  <si>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</si>
  <si>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</si>
  <si>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</si>
  <si>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</si>
  <si>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</si>
  <si>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</si>
  <si>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</si>
  <si>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</si>
  <si>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</si>
  <si>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</si>
  <si>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</si>
  <si>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</si>
  <si>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</si>
  <si>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</si>
  <si>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</si>
  <si>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</si>
  <si>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</si>
  <si>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</si>
  <si>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</si>
  <si>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</si>
  <si>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</si>
  <si>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</si>
  <si>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</si>
  <si>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</si>
  <si>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</si>
  <si>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</si>
  <si>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</si>
  <si>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</si>
  <si>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</si>
  <si>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</si>
  <si>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</si>
  <si>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</si>
  <si>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</si>
  <si>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</si>
  <si>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</si>
  <si>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</si>
  <si>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</si>
  <si>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</si>
  <si>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</si>
  <si>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</si>
  <si>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</si>
  <si>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</si>
  <si>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</si>
  <si>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</si>
  <si>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</si>
  <si>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</si>
  <si>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</si>
  <si>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</si>
  <si>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</si>
  <si>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</si>
  <si>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</si>
  <si>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</si>
  <si>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</si>
  <si>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</si>
  <si>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</si>
  <si>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</si>
  <si>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</si>
  <si>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</si>
  <si>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</si>
  <si>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</si>
  <si>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</si>
  <si>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</si>
  <si>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</si>
  <si>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</si>
  <si>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</si>
  <si>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</si>
  <si>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</si>
  <si>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</si>
  <si>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</si>
  <si>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</si>
  <si>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</si>
  <si>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</si>
  <si>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</si>
  <si>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</si>
  <si>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</si>
  <si>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</si>
  <si>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</si>
  <si>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</si>
  <si>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</si>
  <si>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</si>
  <si>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</si>
  <si>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</si>
  <si>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</si>
  <si>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</si>
  <si>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</si>
  <si>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</si>
  <si>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</si>
  <si>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</si>
  <si>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</si>
  <si>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</si>
  <si>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</si>
  <si>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</si>
  <si>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</si>
  <si>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</si>
  <si>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</si>
  <si>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</si>
  <si>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</si>
  <si>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</si>
  <si>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</si>
  <si>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</si>
  <si>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</si>
  <si>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</si>
  <si>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</si>
  <si>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</si>
  <si>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</si>
  <si>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</si>
  <si>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</si>
  <si>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</si>
  <si>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</si>
  <si>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</si>
  <si>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</si>
  <si>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</si>
  <si>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</si>
  <si>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</si>
  <si>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</si>
  <si>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</si>
  <si>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</si>
  <si>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</si>
  <si>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</si>
  <si>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</si>
  <si>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</si>
  <si>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</si>
  <si>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</si>
  <si>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</si>
  <si>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</si>
  <si>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</si>
  <si>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</si>
  <si>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</si>
  <si>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</si>
  <si>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</si>
  <si>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</si>
  <si>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</si>
  <si>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</si>
  <si>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</si>
  <si>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</si>
  <si>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</si>
  <si>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</si>
  <si>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</si>
  <si>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</si>
  <si>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</si>
  <si>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</si>
  <si>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</si>
  <si>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</si>
  <si>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</si>
  <si>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</si>
  <si>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</si>
  <si>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</si>
  <si>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</si>
  <si>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</si>
  <si>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</si>
  <si>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</si>
  <si>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</si>
  <si>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</si>
  <si>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</si>
  <si>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</si>
  <si>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</si>
  <si>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</si>
  <si>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</si>
  <si>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</si>
  <si>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</si>
  <si>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</si>
  <si>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</si>
  <si>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</si>
  <si>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</si>
  <si>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</si>
  <si>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</si>
  <si>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</si>
  <si>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</si>
  <si>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</si>
  <si>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</si>
  <si>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</si>
  <si>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</si>
  <si>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</si>
  <si>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</si>
  <si>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</si>
  <si>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</si>
  <si>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</si>
  <si>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</si>
  <si>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</si>
  <si>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</si>
  <si>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</si>
  <si>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</si>
  <si>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</si>
  <si>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</si>
  <si>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</si>
  <si>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</si>
  <si>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</si>
  <si>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</si>
  <si>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</si>
  <si>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</si>
  <si>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</si>
  <si>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</si>
  <si>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</si>
  <si>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</si>
  <si>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</si>
  <si>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</si>
  <si>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</si>
  <si>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</si>
  <si>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</si>
  <si>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</si>
  <si>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</si>
  <si>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</si>
  <si>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</si>
  <si>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</si>
  <si>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</si>
  <si>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</si>
  <si>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</si>
  <si>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</si>
  <si>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</si>
  <si>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</si>
  <si>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</si>
  <si>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</si>
  <si>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</si>
  <si>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</si>
  <si>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</si>
  <si>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</si>
  <si>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</si>
  <si>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</si>
  <si>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</si>
  <si>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</si>
  <si>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</si>
  <si>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</si>
  <si>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</si>
  <si>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</si>
  <si>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</si>
  <si>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</si>
  <si>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</si>
  <si>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</si>
  <si>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</si>
  <si>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</si>
  <si>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</si>
  <si>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</si>
  <si>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</si>
  <si>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</si>
  <si>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</si>
  <si>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</si>
  <si>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</si>
  <si>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</si>
  <si>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</si>
  <si>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</si>
  <si>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</si>
  <si>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</si>
  <si>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</si>
  <si>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</si>
  <si>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</si>
  <si>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</si>
  <si>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</si>
  <si>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</si>
  <si>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</si>
  <si>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</si>
  <si>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</si>
  <si>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</si>
  <si>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</si>
  <si>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</si>
  <si>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</si>
  <si>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</si>
  <si>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</si>
  <si>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</si>
  <si>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</si>
  <si>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</si>
  <si>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</si>
  <si>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</si>
  <si>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</si>
  <si>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</si>
  <si>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</si>
  <si>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</si>
  <si>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</si>
  <si>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</si>
  <si>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</si>
  <si>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</si>
  <si>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</si>
  <si>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</si>
  <si>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</si>
  <si>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</si>
  <si>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</si>
  <si>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</si>
  <si>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</si>
  <si>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</si>
  <si>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</si>
  <si>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</si>
  <si>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</si>
  <si>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</si>
  <si>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</si>
  <si>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</si>
  <si>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</si>
  <si>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</si>
  <si>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</si>
  <si>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</si>
  <si>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</si>
  <si>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</si>
  <si>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</si>
  <si>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</si>
  <si>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</si>
  <si>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</si>
  <si>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</si>
  <si>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</si>
  <si>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</si>
  <si>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</si>
  <si>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</si>
  <si>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</si>
  <si>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</si>
  <si>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</si>
  <si>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</si>
  <si>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</si>
  <si>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</si>
  <si>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</si>
  <si>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</si>
  <si>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</si>
  <si>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</si>
  <si>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</si>
  <si>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</si>
  <si>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</si>
  <si>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</si>
  <si>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</si>
  <si>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</si>
  <si>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</si>
  <si>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</si>
  <si>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</si>
  <si>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</si>
  <si>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</si>
  <si>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</si>
  <si>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</si>
  <si>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</si>
  <si>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</si>
  <si>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</si>
  <si>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</si>
  <si>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</si>
  <si>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</si>
  <si>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</si>
  <si>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</si>
  <si>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</si>
  <si>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</si>
  <si>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</si>
  <si>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</si>
  <si>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</si>
  <si>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</si>
  <si>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</si>
  <si>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</si>
  <si>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</si>
  <si>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</si>
  <si>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</si>
  <si>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</si>
  <si>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</si>
  <si>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</si>
  <si>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</si>
  <si>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</si>
  <si>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</si>
  <si>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</si>
  <si>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</si>
  <si>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</si>
  <si>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</si>
  <si>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</si>
  <si>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</si>
  <si>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</si>
  <si>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</si>
  <si>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</si>
  <si>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</si>
  <si>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</si>
  <si>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</si>
  <si>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</si>
  <si>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</si>
  <si>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</si>
  <si>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</si>
  <si>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</si>
  <si>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</si>
  <si>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</si>
  <si>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</si>
  <si>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</si>
  <si>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</si>
  <si>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</si>
  <si>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</si>
  <si>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</si>
  <si>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</si>
  <si>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</si>
  <si>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</si>
  <si>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</si>
  <si>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</si>
  <si>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</si>
  <si>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</si>
  <si>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</si>
  <si>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</si>
  <si>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</si>
  <si>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</si>
  <si>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</si>
  <si>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</si>
  <si>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</si>
  <si>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</si>
  <si>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</si>
  <si>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</si>
  <si>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</si>
  <si>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</si>
  <si>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</si>
  <si>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</si>
  <si>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</si>
  <si>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</si>
  <si>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</si>
  <si>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</si>
  <si>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</si>
  <si>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</si>
  <si>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</si>
  <si>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</si>
  <si>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</si>
  <si>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</si>
  <si>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</si>
  <si>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</si>
  <si>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</si>
  <si>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</si>
  <si>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</si>
  <si>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</si>
  <si>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</si>
  <si>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</si>
  <si>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</si>
  <si>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</si>
  <si>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</si>
  <si>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</si>
  <si>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</si>
  <si>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</si>
  <si>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</si>
  <si>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</si>
  <si>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</si>
  <si>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</si>
  <si>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</si>
  <si>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</si>
  <si>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</si>
  <si>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</si>
  <si>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</si>
  <si>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</si>
  <si>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</si>
  <si>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</si>
  <si>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</si>
  <si>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</si>
  <si>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</si>
  <si>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</si>
  <si>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</si>
  <si>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</si>
  <si>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</si>
  <si>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</si>
  <si>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</si>
  <si>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</si>
  <si>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</si>
  <si>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</si>
  <si>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</si>
  <si>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</si>
  <si>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</si>
  <si>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</si>
  <si>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</si>
  <si>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</si>
  <si>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</si>
  <si>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</si>
  <si>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</si>
  <si>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</si>
  <si>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</si>
  <si>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</si>
  <si>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</si>
  <si>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</si>
  <si>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</si>
  <si>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</si>
  <si>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</si>
  <si>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</si>
  <si>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</si>
  <si>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</si>
  <si>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</si>
  <si>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</si>
  <si>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</si>
  <si>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</si>
  <si>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</si>
  <si>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</si>
  <si>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</si>
  <si>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</si>
  <si>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</si>
  <si>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</si>
  <si>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</si>
  <si>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</si>
  <si>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</si>
  <si>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</si>
  <si>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</si>
  <si>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</si>
  <si>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</si>
  <si>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</si>
  <si>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</si>
  <si>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</si>
  <si>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</si>
  <si>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</si>
  <si>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</si>
  <si>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</si>
  <si>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</si>
  <si>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</si>
  <si>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</si>
  <si>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</si>
  <si>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</si>
  <si>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</si>
  <si>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</si>
  <si>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</si>
  <si>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</si>
  <si>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</si>
  <si>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</si>
  <si>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</si>
  <si>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</si>
  <si>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</si>
  <si>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</si>
  <si>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</si>
  <si>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</si>
  <si>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</si>
  <si>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</si>
  <si>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</si>
  <si>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</si>
  <si>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</si>
  <si>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</si>
  <si>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</si>
  <si>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</si>
  <si>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</si>
  <si>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</si>
  <si>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</si>
  <si>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</si>
  <si>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</si>
  <si>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</si>
  <si>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</si>
  <si>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</si>
  <si>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</si>
  <si>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</si>
  <si>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</si>
  <si>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</si>
  <si>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</si>
  <si>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</si>
  <si>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</si>
  <si>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</si>
  <si>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</si>
  <si>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</si>
  <si>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</si>
  <si>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</si>
  <si>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</si>
  <si>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</si>
  <si>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</si>
  <si>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</si>
  <si>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</si>
  <si>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</si>
  <si>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</si>
  <si>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</si>
  <si>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</si>
  <si>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</si>
  <si>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</si>
  <si>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</si>
  <si>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</si>
  <si>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</si>
  <si>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</si>
  <si>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</si>
  <si>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</si>
  <si>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</si>
  <si>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</si>
  <si>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</si>
  <si>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</si>
  <si>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</si>
  <si>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</si>
  <si>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</si>
  <si>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</si>
  <si>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</si>
  <si>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</si>
  <si>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</si>
  <si>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</si>
  <si>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</si>
  <si>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</si>
  <si>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</si>
  <si>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</si>
  <si>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</si>
  <si>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</si>
  <si>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</si>
  <si>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</si>
  <si>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</si>
  <si>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</si>
  <si>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</si>
  <si>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</si>
  <si>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</si>
  <si>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</si>
  <si>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</si>
  <si>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</si>
  <si>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</si>
  <si>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</si>
  <si>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</si>
  <si>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</si>
  <si>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</si>
  <si>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</si>
  <si>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</si>
  <si>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</si>
  <si>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</si>
  <si>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</si>
  <si>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</si>
  <si>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</si>
  <si>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</si>
  <si>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</si>
  <si>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</si>
  <si>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</si>
  <si>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</si>
  <si>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</si>
  <si>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</si>
  <si>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</si>
  <si>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</si>
  <si>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</si>
  <si>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</si>
  <si>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</si>
  <si>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</si>
  <si>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</si>
  <si>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</si>
  <si>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</si>
  <si>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</si>
  <si>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</si>
  <si>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</si>
  <si>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</si>
  <si>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</si>
  <si>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</si>
  <si>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</si>
  <si>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</si>
  <si>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</si>
  <si>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</si>
  <si>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</si>
  <si>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</si>
  <si>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</si>
  <si>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</si>
  <si>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</si>
  <si>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</si>
  <si>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</si>
  <si>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</si>
  <si>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</si>
  <si>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</si>
  <si>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</si>
  <si>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</si>
  <si>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</si>
  <si>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</si>
  <si>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</si>
  <si>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</si>
  <si>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</si>
  <si>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</si>
  <si>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</si>
  <si>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</si>
  <si>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</si>
  <si>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</si>
  <si>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</si>
  <si>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</si>
  <si>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</si>
  <si>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</si>
  <si>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</si>
  <si>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</si>
  <si>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</si>
  <si>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</si>
  <si>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</si>
  <si>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</si>
  <si>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</si>
  <si>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</si>
  <si>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</si>
  <si>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</si>
  <si>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</si>
  <si>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</si>
  <si>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</si>
  <si>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</si>
  <si>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</si>
  <si>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</si>
  <si>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</si>
  <si>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</si>
  <si>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</si>
  <si>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</si>
  <si>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</si>
  <si>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</si>
  <si>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</si>
  <si>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</si>
  <si>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</si>
  <si>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</si>
  <si>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</si>
  <si>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</si>
  <si>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</si>
  <si>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</si>
  <si>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</si>
  <si>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</si>
  <si>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</si>
  <si>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</si>
  <si>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</si>
  <si>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</si>
  <si>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</si>
  <si>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</si>
  <si>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</si>
  <si>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</si>
  <si>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</si>
  <si>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</si>
  <si>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</si>
  <si>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</si>
  <si>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</si>
  <si>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</si>
  <si>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</si>
  <si>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</si>
  <si>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</si>
  <si>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</si>
  <si>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</si>
  <si>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</si>
  <si>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</si>
  <si>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</si>
  <si>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</si>
  <si>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</si>
  <si>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</si>
  <si>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</si>
  <si>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</si>
  <si>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</si>
  <si>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</si>
  <si>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</si>
  <si>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</si>
  <si>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</si>
  <si>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</si>
  <si>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</si>
  <si>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</si>
  <si>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</si>
  <si>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</si>
  <si>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</si>
  <si>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</si>
  <si>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</si>
  <si>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</si>
  <si>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</si>
  <si>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</si>
  <si>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</si>
  <si>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</si>
  <si>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</si>
  <si>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</si>
  <si>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</si>
  <si>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</si>
  <si>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</si>
  <si>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</si>
  <si>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</si>
  <si>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</si>
  <si>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</si>
  <si>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</si>
  <si>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</si>
  <si>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</si>
  <si>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</si>
  <si>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</si>
  <si>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</si>
  <si>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</si>
  <si>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</si>
  <si>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</si>
  <si>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</si>
  <si>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</si>
  <si>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</si>
  <si>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</si>
  <si>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</si>
  <si>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</si>
  <si>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</si>
  <si>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</si>
  <si>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</si>
  <si>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</si>
  <si>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</si>
  <si>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</si>
  <si>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</si>
  <si>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</si>
  <si>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</si>
  <si>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</si>
  <si>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</si>
  <si>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</si>
  <si>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</si>
  <si>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</si>
  <si>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</si>
  <si>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</si>
  <si>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</si>
  <si>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</si>
  <si>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</si>
  <si>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</si>
  <si>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</si>
  <si>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</si>
  <si>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</si>
  <si>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</si>
  <si>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</si>
  <si>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</si>
  <si>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</si>
  <si>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</si>
  <si>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</si>
  <si>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</si>
  <si>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</si>
  <si>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</si>
  <si>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</si>
  <si>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</si>
  <si>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</si>
  <si>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</si>
  <si>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</si>
  <si>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</si>
  <si>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</si>
  <si>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</si>
  <si>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</si>
  <si>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</si>
  <si>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</si>
  <si>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</si>
  <si>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</si>
  <si>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</si>
  <si>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</si>
  <si>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</si>
  <si>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</si>
  <si>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</si>
  <si>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</si>
  <si>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</si>
  <si>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</si>
  <si>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</si>
  <si>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</si>
  <si>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</si>
  <si>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</si>
  <si>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</si>
  <si>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</si>
  <si>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</si>
  <si>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</si>
  <si>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</si>
  <si>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</si>
  <si>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</si>
  <si>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</si>
  <si>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</si>
  <si>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</si>
  <si>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</si>
  <si>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</si>
  <si>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</si>
  <si>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</si>
  <si>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</si>
  <si>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</si>
  <si>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</si>
  <si>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</si>
  <si>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</si>
  <si>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</si>
  <si>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</si>
  <si>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</si>
  <si>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</si>
  <si>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</si>
  <si>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</si>
  <si>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</si>
  <si>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</si>
  <si>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</si>
  <si>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</si>
  <si>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</si>
  <si>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</si>
  <si>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</si>
  <si>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</si>
  <si>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</si>
  <si>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</si>
  <si>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</si>
  <si>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</si>
  <si>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</si>
  <si>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</si>
  <si>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</si>
  <si>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</si>
  <si>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</si>
  <si>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</si>
  <si>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</si>
  <si>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</si>
  <si>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</si>
  <si>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</si>
  <si>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</si>
  <si>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</si>
  <si>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</si>
  <si>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</si>
  <si>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</si>
  <si>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</si>
  <si>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</si>
  <si>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</si>
  <si>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</si>
  <si>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</si>
  <si>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</si>
  <si>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</si>
  <si>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</si>
  <si>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</si>
  <si>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</si>
  <si>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</si>
  <si>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</si>
  <si>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</si>
  <si>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</si>
  <si>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</si>
  <si>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</si>
  <si>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</si>
  <si>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</si>
  <si>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</si>
  <si>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</si>
  <si>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</si>
  <si>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</si>
  <si>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</si>
  <si>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</si>
  <si>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</si>
  <si>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</si>
  <si>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</si>
  <si>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</si>
  <si>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</si>
  <si>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</si>
  <si>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</si>
  <si>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</si>
  <si>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</si>
  <si>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</si>
  <si>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</si>
  <si>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</si>
  <si>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</si>
  <si>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</si>
  <si>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</si>
  <si>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</si>
  <si>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</si>
  <si>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</si>
  <si>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</si>
  <si>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</si>
  <si>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</si>
  <si>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</si>
  <si>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</si>
  <si>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</si>
  <si>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</si>
  <si>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</si>
  <si>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</si>
  <si>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</si>
  <si>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</si>
  <si>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</si>
  <si>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</si>
  <si>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</si>
  <si>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</si>
  <si>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</si>
  <si>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</si>
  <si>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</si>
  <si>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</si>
  <si>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</si>
  <si>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</si>
  <si>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</si>
  <si>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</si>
  <si>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</si>
  <si>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</si>
  <si>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</si>
  <si>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</si>
  <si>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</si>
  <si>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</si>
  <si>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</si>
  <si>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</si>
  <si>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</si>
  <si>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</si>
  <si>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</si>
  <si>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</si>
  <si>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</si>
  <si>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</si>
  <si>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</si>
  <si>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</si>
  <si>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</si>
  <si>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</si>
  <si>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</si>
  <si>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</si>
  <si>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</si>
  <si>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</si>
  <si>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</si>
  <si>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</si>
  <si>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</si>
  <si>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</si>
  <si>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</si>
  <si>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</si>
  <si>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</si>
  <si>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</si>
  <si>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</si>
  <si>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</si>
  <si>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</si>
  <si>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</si>
  <si>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</si>
  <si>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</si>
  <si>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</si>
  <si>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</si>
  <si>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</si>
  <si>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</si>
  <si>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</si>
  <si>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</si>
  <si>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</si>
  <si>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</si>
  <si>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</si>
  <si>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</si>
  <si>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</si>
  <si>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</si>
  <si>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</si>
  <si>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</si>
  <si>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</si>
  <si>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</si>
  <si>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</si>
  <si>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</si>
  <si>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</si>
  <si>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</si>
  <si>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</si>
  <si>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</si>
  <si>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</si>
  <si>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</si>
  <si>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</si>
  <si>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</si>
  <si>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</si>
  <si>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</si>
  <si>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</si>
  <si>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</si>
  <si>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</si>
  <si>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</si>
  <si>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</si>
  <si>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</si>
  <si>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</si>
  <si>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</si>
  <si>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</si>
  <si>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</si>
  <si>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</si>
  <si>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</si>
  <si>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</si>
  <si>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</si>
  <si>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</si>
  <si>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</si>
  <si>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</si>
  <si>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</si>
  <si>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</si>
  <si>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</si>
  <si>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</si>
  <si>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</si>
  <si>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</si>
  <si>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</si>
  <si>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</si>
  <si>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</si>
  <si>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</si>
  <si>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</si>
  <si>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</si>
  <si>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</si>
  <si>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</si>
  <si>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</si>
  <si>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</si>
  <si>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</si>
  <si>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</si>
  <si>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</si>
  <si>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</si>
  <si>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</si>
  <si>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</si>
  <si>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</si>
  <si>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</si>
  <si>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</si>
  <si>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</si>
  <si>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</si>
  <si>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</si>
  <si>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</si>
  <si>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</si>
  <si>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</si>
  <si>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</si>
  <si>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</si>
  <si>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</si>
  <si>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</si>
  <si>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</si>
  <si>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</si>
  <si>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</si>
  <si>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</si>
  <si>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</si>
  <si>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</si>
  <si>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</si>
  <si>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</si>
  <si>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</si>
  <si>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</si>
  <si>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</si>
  <si>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</si>
  <si>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</si>
  <si>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</si>
  <si>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</si>
  <si>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</si>
  <si>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</si>
  <si>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</si>
  <si>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</si>
  <si>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</si>
  <si>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</si>
  <si>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</si>
  <si>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</si>
  <si>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</si>
  <si>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</si>
  <si>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</si>
  <si>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</si>
  <si>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</si>
  <si>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</si>
  <si>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</si>
  <si>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</si>
  <si>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</si>
  <si>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</si>
  <si>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</si>
  <si>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</si>
  <si>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</si>
  <si>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</si>
  <si>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</si>
  <si>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</si>
  <si>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</si>
  <si>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</si>
  <si>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</si>
  <si>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</si>
  <si>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</si>
  <si>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</si>
  <si>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</si>
  <si>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</si>
  <si>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</si>
  <si>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</si>
  <si>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</si>
  <si>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</si>
  <si>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</si>
  <si>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</si>
  <si>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</si>
  <si>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</si>
  <si>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</si>
  <si>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</si>
  <si>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</si>
  <si>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</si>
  <si>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</si>
  <si>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</si>
  <si>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</si>
  <si>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</si>
  <si>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</si>
  <si>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</si>
  <si>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</si>
  <si>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</si>
  <si>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</si>
  <si>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</si>
  <si>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</si>
  <si>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</si>
  <si>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</si>
  <si>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</si>
  <si>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</si>
  <si>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</si>
  <si>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</si>
  <si>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</si>
  <si>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</si>
  <si>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</si>
  <si>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</si>
  <si>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</si>
  <si>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</si>
  <si>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</si>
  <si>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</si>
  <si>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</si>
  <si>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</si>
  <si>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</si>
  <si>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</si>
  <si>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</si>
  <si>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</si>
  <si>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</si>
  <si>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</si>
  <si>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</si>
  <si>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</si>
  <si>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</si>
  <si>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</si>
  <si>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</si>
  <si>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</si>
  <si>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</si>
  <si>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</si>
  <si>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</si>
  <si>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</si>
  <si>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</si>
  <si>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</si>
  <si>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</si>
  <si>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</si>
  <si>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</si>
  <si>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</si>
  <si>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</si>
  <si>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</si>
  <si>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</si>
  <si>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</si>
  <si>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</si>
  <si>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</si>
  <si>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</si>
  <si>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</si>
  <si>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</si>
  <si>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</si>
  <si>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</si>
  <si>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</si>
  <si>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</si>
  <si>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</si>
  <si>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</si>
  <si>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</si>
  <si>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</si>
  <si>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</si>
  <si>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</si>
  <si>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</si>
  <si>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</si>
  <si>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</si>
  <si>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</si>
  <si>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</si>
  <si>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</si>
  <si>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</si>
  <si>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</si>
  <si>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</si>
  <si>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</si>
  <si>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</si>
  <si>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</si>
  <si>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</si>
  <si>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</si>
  <si>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</si>
  <si>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</si>
  <si>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</si>
  <si>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</si>
  <si>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</si>
  <si>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</si>
  <si>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</si>
  <si>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</si>
  <si>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</si>
  <si>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</si>
  <si>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</si>
  <si>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</si>
  <si>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</si>
  <si>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</si>
  <si>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</si>
  <si>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</si>
  <si>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</si>
  <si>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</si>
  <si>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</si>
  <si>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</si>
  <si>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</si>
  <si>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</si>
  <si>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</si>
  <si>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</si>
  <si>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</si>
  <si>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</si>
  <si>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</si>
  <si>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</si>
  <si>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</si>
  <si>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</si>
  <si>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</si>
  <si>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</si>
  <si>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</si>
  <si>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</si>
  <si>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</si>
  <si>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</si>
  <si>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</si>
  <si>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</si>
  <si>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</si>
  <si>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</si>
  <si>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</si>
  <si>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</si>
  <si>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</si>
  <si>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</si>
  <si>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</si>
  <si>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</si>
  <si>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</si>
  <si>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</si>
  <si>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</si>
  <si>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</si>
  <si>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</si>
  <si>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</si>
  <si>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</si>
  <si>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</si>
  <si>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</si>
  <si>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</si>
  <si>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</si>
  <si>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</si>
  <si>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</si>
  <si>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</si>
  <si>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</si>
  <si>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</si>
  <si>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</si>
  <si>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</si>
  <si>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</si>
  <si>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</si>
  <si>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</si>
  <si>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</si>
  <si>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</si>
  <si>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</si>
  <si>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</si>
  <si>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</si>
  <si>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</si>
  <si>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</si>
  <si>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</si>
  <si>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</si>
  <si>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</si>
  <si>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</si>
  <si>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</si>
  <si>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</si>
  <si>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</si>
  <si>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</si>
  <si>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</si>
  <si>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</si>
  <si>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</si>
  <si>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</si>
  <si>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</si>
  <si>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</si>
  <si>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</si>
  <si>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</si>
  <si>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</si>
  <si>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</si>
  <si>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</si>
  <si>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</si>
  <si>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</si>
  <si>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</si>
  <si>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</si>
  <si>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</si>
  <si>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</si>
  <si>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</si>
  <si>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</si>
  <si>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</si>
  <si>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</si>
  <si>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</si>
  <si>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</si>
  <si>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</si>
  <si>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</si>
  <si>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</si>
  <si>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</si>
  <si>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</si>
  <si>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</si>
  <si>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</si>
  <si>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</si>
  <si>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</si>
  <si>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</si>
  <si>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</si>
  <si>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</si>
  <si>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</si>
  <si>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</si>
  <si>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</si>
  <si>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</si>
  <si>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</si>
  <si>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</si>
  <si>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</si>
  <si>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</si>
  <si>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</si>
  <si>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</si>
  <si>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</si>
  <si>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</si>
  <si>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</si>
  <si>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</si>
  <si>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</si>
  <si>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</si>
  <si>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</si>
  <si>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</si>
  <si>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</si>
  <si>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</si>
  <si>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</si>
  <si>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</si>
  <si>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</si>
  <si>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</si>
  <si>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</si>
  <si>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</si>
  <si>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</si>
  <si>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</si>
  <si>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</si>
  <si>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</si>
  <si>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</si>
  <si>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</si>
  <si>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</si>
  <si>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</si>
  <si>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</si>
  <si>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</si>
  <si>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</si>
  <si>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</si>
  <si>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</si>
  <si>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</si>
  <si>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</si>
  <si>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</si>
  <si>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</si>
  <si>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</si>
  <si>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</si>
  <si>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</si>
  <si>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</si>
  <si>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</si>
  <si>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</si>
  <si>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</si>
  <si>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</si>
  <si>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</si>
  <si>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</si>
  <si>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</si>
  <si>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</si>
  <si>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</si>
  <si>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</si>
  <si>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</si>
  <si>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</si>
  <si>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</si>
  <si>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</si>
  <si>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</si>
  <si>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</si>
  <si>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</si>
  <si>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</si>
  <si>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</si>
  <si>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</si>
  <si>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</si>
  <si>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</si>
  <si>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</si>
  <si>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</si>
  <si>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</si>
  <si>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</si>
  <si>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</si>
  <si>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</si>
  <si>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</si>
  <si>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</si>
  <si>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</si>
  <si>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</si>
  <si>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</si>
  <si>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</si>
  <si>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</si>
  <si>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</si>
  <si>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</si>
  <si>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</si>
  <si>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</si>
  <si>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</si>
  <si>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</si>
  <si>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</si>
  <si>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</si>
  <si>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</si>
  <si>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</si>
  <si>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</si>
  <si>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</si>
  <si>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</si>
  <si>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</si>
  <si>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</si>
  <si>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</si>
  <si>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</si>
  <si>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</si>
  <si>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</si>
  <si>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</si>
  <si>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</si>
  <si>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</si>
  <si>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</si>
  <si>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</si>
  <si>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</si>
  <si>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</si>
  <si>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</si>
  <si>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</si>
  <si>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</si>
  <si>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</si>
  <si>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</si>
  <si>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</si>
  <si>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</si>
  <si>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</si>
  <si>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</si>
  <si>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</si>
  <si>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</si>
  <si>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</si>
  <si>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</si>
  <si>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</si>
  <si>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</si>
  <si>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</si>
  <si>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</si>
  <si>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</si>
  <si>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</si>
  <si>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</si>
  <si>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</si>
  <si>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</si>
  <si>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</si>
  <si>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</si>
  <si>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</si>
  <si>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</si>
  <si>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</si>
  <si>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</si>
  <si>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</si>
  <si>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</si>
  <si>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</si>
  <si>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</si>
  <si>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</si>
  <si>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</si>
  <si>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</si>
  <si>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</si>
  <si>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</si>
  <si>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</si>
  <si>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</si>
  <si>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</si>
  <si>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</si>
  <si>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</si>
  <si>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</si>
  <si>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</si>
  <si>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</si>
  <si>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</si>
  <si>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</si>
  <si>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</si>
  <si>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</si>
  <si>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</si>
  <si>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</si>
  <si>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</si>
  <si>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</si>
  <si>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</si>
  <si>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</si>
  <si>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</si>
  <si>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</si>
  <si>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</si>
  <si>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</si>
  <si>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</si>
  <si>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</si>
  <si>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</si>
  <si>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</si>
  <si>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</si>
  <si>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</si>
  <si>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</si>
  <si>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</si>
  <si>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</si>
  <si>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</si>
  <si>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</si>
  <si>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</si>
  <si>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</si>
  <si>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</si>
  <si>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</si>
  <si>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</si>
  <si>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</si>
  <si>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</si>
  <si>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</si>
  <si>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</si>
  <si>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</si>
  <si>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</si>
  <si>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</si>
  <si>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</si>
  <si>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</si>
  <si>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</si>
  <si>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</si>
  <si>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</si>
  <si>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</si>
  <si>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</si>
  <si>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</si>
  <si>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</si>
  <si>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</si>
  <si>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</si>
  <si>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</si>
  <si>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</si>
  <si>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</si>
  <si>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</si>
  <si>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</si>
  <si>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</si>
  <si>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</si>
  <si>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</si>
  <si>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</si>
  <si>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</si>
  <si>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</si>
  <si>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</si>
  <si>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</si>
  <si>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</si>
  <si>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</si>
  <si>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</si>
  <si>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</si>
  <si>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</si>
  <si>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</si>
  <si>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</si>
  <si>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</si>
  <si>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</si>
  <si>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</si>
  <si>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</si>
  <si>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</si>
  <si>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</si>
  <si>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</si>
  <si>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</si>
  <si>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</si>
  <si>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</si>
  <si>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</si>
  <si>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</si>
  <si>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</si>
  <si>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</si>
  <si>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</si>
  <si>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</si>
  <si>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</si>
  <si>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</si>
  <si>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</si>
  <si>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</si>
  <si>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</si>
  <si>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</si>
  <si>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</si>
  <si>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</si>
  <si>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</si>
  <si>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</si>
  <si>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</si>
  <si>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</si>
  <si>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</si>
  <si>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</si>
  <si>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</si>
  <si>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</si>
  <si>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</si>
  <si>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</si>
  <si>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</si>
  <si>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</si>
  <si>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</si>
  <si>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</si>
  <si>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</si>
  <si>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</si>
  <si>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</si>
  <si>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</si>
  <si>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</si>
  <si>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</si>
  <si>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</si>
  <si>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</si>
  <si>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</si>
  <si>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</si>
  <si>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</si>
  <si>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</si>
  <si>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</si>
  <si>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</si>
  <si>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</si>
  <si>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</si>
  <si>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</si>
  <si>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</si>
  <si>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</si>
  <si>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</si>
  <si>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</si>
  <si>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</si>
  <si>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</si>
  <si>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</si>
  <si>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</si>
  <si>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</si>
  <si>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</si>
  <si>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</si>
  <si>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</si>
  <si>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</si>
  <si>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</si>
  <si>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</si>
  <si>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</si>
  <si>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</si>
  <si>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</si>
  <si>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</si>
  <si>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</si>
  <si>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</si>
  <si>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</si>
  <si>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</si>
  <si>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</si>
  <si>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</si>
  <si>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</si>
  <si>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</si>
  <si>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</si>
  <si>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</si>
  <si>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</si>
  <si>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</si>
  <si>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</si>
  <si>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</si>
  <si>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</si>
  <si>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</si>
  <si>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</si>
  <si>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</si>
  <si>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</si>
  <si>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</si>
  <si>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</si>
  <si>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</si>
  <si>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</si>
  <si>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</si>
  <si>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</si>
  <si>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</si>
  <si>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</si>
  <si>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</si>
  <si>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</si>
  <si>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</si>
  <si>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</si>
  <si>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</si>
  <si>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</si>
  <si>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</si>
  <si>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</si>
  <si>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</si>
  <si>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</si>
  <si>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</si>
  <si>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</si>
  <si>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</si>
  <si>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</si>
  <si>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</si>
  <si>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</si>
  <si>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</si>
  <si>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</si>
  <si>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</si>
  <si>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</si>
  <si>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</si>
  <si>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</si>
  <si>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</si>
  <si>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</si>
  <si>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</si>
  <si>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</si>
  <si>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</si>
  <si>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</si>
  <si>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</si>
  <si>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</si>
  <si>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</si>
  <si>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</si>
  <si>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</si>
  <si>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</si>
  <si>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</si>
  <si>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</si>
  <si>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</si>
  <si>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</si>
  <si>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</si>
  <si>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</si>
  <si>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</si>
  <si>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</si>
  <si>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</si>
  <si>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</si>
  <si>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</si>
  <si>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</si>
  <si>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</si>
  <si>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</si>
  <si>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</si>
  <si>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</si>
  <si>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</si>
  <si>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</si>
  <si>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</si>
  <si>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</si>
  <si>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</si>
  <si>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</si>
  <si>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</si>
  <si>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</si>
  <si>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</si>
  <si>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</si>
  <si>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</si>
  <si>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</si>
  <si>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</si>
  <si>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</si>
  <si>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</si>
  <si>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</si>
  <si>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</si>
  <si>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</si>
  <si>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</si>
  <si>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</si>
  <si>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</si>
  <si>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</si>
  <si>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</si>
  <si>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</si>
  <si>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</si>
  <si>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</si>
  <si>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</si>
  <si>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</si>
  <si>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</si>
  <si>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</si>
  <si>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</si>
  <si>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</si>
  <si>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</si>
  <si>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</si>
  <si>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</si>
  <si>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</si>
  <si>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</si>
  <si>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</si>
  <si>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</si>
  <si>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</si>
  <si>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</si>
  <si>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</si>
  <si>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</si>
  <si>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</si>
  <si>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</si>
  <si>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</si>
  <si>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</si>
  <si>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</si>
  <si>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</si>
  <si>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</si>
  <si>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</si>
  <si>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</si>
  <si>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</si>
  <si>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</si>
  <si>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</si>
  <si>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</si>
  <si>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</si>
  <si>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</si>
  <si>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</si>
  <si>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</si>
  <si>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</si>
  <si>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</si>
  <si>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</si>
  <si>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</si>
  <si>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</si>
  <si>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</si>
  <si>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</si>
  <si>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</si>
  <si>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</si>
  <si>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</si>
  <si>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</si>
  <si>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</si>
  <si>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</si>
  <si>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</si>
  <si>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</si>
  <si>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</si>
  <si>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</si>
  <si>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</si>
  <si>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</si>
  <si>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</si>
  <si>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</si>
  <si>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</si>
  <si>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</si>
  <si>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</si>
  <si>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</si>
  <si>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</si>
  <si>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</si>
  <si>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</si>
  <si>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</si>
  <si>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</si>
  <si>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</si>
  <si>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</si>
  <si>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</si>
  <si>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</si>
  <si>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</si>
  <si>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</si>
  <si>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</si>
  <si>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</si>
  <si>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</si>
  <si>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</si>
  <si>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</si>
  <si>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</si>
  <si>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</si>
  <si>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</si>
  <si>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</si>
  <si>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</si>
  <si>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</si>
  <si>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</si>
  <si>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</si>
  <si>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</si>
  <si>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</si>
  <si>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</si>
  <si>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</si>
  <si>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</si>
  <si>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</si>
  <si>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</si>
  <si>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</si>
  <si>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</si>
  <si>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</si>
  <si>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</si>
  <si>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</si>
  <si>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</si>
  <si>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</si>
  <si>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</si>
  <si>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</si>
  <si>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</si>
  <si>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</si>
  <si>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</si>
  <si>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</si>
  <si>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</si>
  <si>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</si>
  <si>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</si>
  <si>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</si>
  <si>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</si>
  <si>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</si>
  <si>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</si>
  <si>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</si>
  <si>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</si>
  <si>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</si>
  <si>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</si>
  <si>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</si>
  <si>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</si>
  <si>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</si>
  <si>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</si>
  <si>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</si>
  <si>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</si>
  <si>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</si>
  <si>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</si>
  <si>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</si>
  <si>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</si>
  <si>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</si>
  <si>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</si>
  <si>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</si>
  <si>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</si>
  <si>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</si>
  <si>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</si>
  <si>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</si>
  <si>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</si>
  <si>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</si>
  <si>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</si>
  <si>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</si>
  <si>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</si>
  <si>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</si>
  <si>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</si>
  <si>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</si>
  <si>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</si>
  <si>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</si>
  <si>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</si>
  <si>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</si>
  <si>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</si>
  <si>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</si>
  <si>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</si>
  <si>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</si>
  <si>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</si>
  <si>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</si>
  <si>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</si>
  <si>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</si>
  <si>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</si>
  <si>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</si>
  <si>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</si>
  <si>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</si>
  <si>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</si>
  <si>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</si>
  <si>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</si>
  <si>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</si>
  <si>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</si>
  <si>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</si>
  <si>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</si>
  <si>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</si>
  <si>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</si>
  <si>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</si>
  <si>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</si>
  <si>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</si>
  <si>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</si>
  <si>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</si>
  <si>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</si>
  <si>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</si>
  <si>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</si>
  <si>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</si>
  <si>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</si>
  <si>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</si>
  <si>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</si>
  <si>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</si>
  <si>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</si>
  <si>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</si>
  <si>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</si>
  <si>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</si>
  <si>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</si>
  <si>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</si>
  <si>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</si>
  <si>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</si>
  <si>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</si>
  <si>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</si>
  <si>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</si>
  <si>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</si>
  <si>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</si>
  <si>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</si>
  <si>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</si>
  <si>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</si>
  <si>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</si>
  <si>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</si>
  <si>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</si>
  <si>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</si>
  <si>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</si>
  <si>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</si>
  <si>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</si>
  <si>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</si>
  <si>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</si>
  <si>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</si>
  <si>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</si>
  <si>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</si>
  <si>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</si>
  <si>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</si>
  <si>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</si>
  <si>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</si>
  <si>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</si>
  <si>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</si>
  <si>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</si>
  <si>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</si>
  <si>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</si>
  <si>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</si>
  <si>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</si>
  <si>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</si>
  <si>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</si>
  <si>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</si>
  <si>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</si>
  <si>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</si>
  <si>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</si>
  <si>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</si>
  <si>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</si>
  <si>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</si>
  <si>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</si>
  <si>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</si>
  <si>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</si>
  <si>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</si>
  <si>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</si>
  <si>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</si>
  <si>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</si>
  <si>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</si>
  <si>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</si>
  <si>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</si>
  <si>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</si>
  <si>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</si>
  <si>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</si>
  <si>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</si>
  <si>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</si>
  <si>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</si>
  <si>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</si>
  <si>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</si>
  <si>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</si>
  <si>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</si>
  <si>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</si>
  <si>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</si>
  <si>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</si>
  <si>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</si>
  <si>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</si>
  <si>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</si>
  <si>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</si>
  <si>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</si>
  <si>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</si>
  <si>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</si>
  <si>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</si>
  <si>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</si>
  <si>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</si>
  <si>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</si>
  <si>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</si>
  <si>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</si>
  <si>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</si>
  <si>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</si>
  <si>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</si>
  <si>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</si>
  <si>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</si>
  <si>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</si>
  <si>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</si>
  <si>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</si>
  <si>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</si>
  <si>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</si>
  <si>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</si>
  <si>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</si>
  <si>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</si>
  <si>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</si>
  <si>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</si>
  <si>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</si>
  <si>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</si>
  <si>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</si>
  <si>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</si>
  <si>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</si>
  <si>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</si>
  <si>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</si>
  <si>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</si>
  <si>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</si>
  <si>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</si>
  <si>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</si>
  <si>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</si>
  <si>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</si>
  <si>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</si>
  <si>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</si>
  <si>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</si>
  <si>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</si>
  <si>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</si>
  <si>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</si>
  <si>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</si>
  <si>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</si>
  <si>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</si>
  <si>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</si>
  <si>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</si>
  <si>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</si>
  <si>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</si>
  <si>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</si>
  <si>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</si>
  <si>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</si>
  <si>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</si>
  <si>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</si>
  <si>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</si>
  <si>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</si>
  <si>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</si>
  <si>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</si>
  <si>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</si>
  <si>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</si>
  <si>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</si>
  <si>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</si>
  <si>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</si>
  <si>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</si>
  <si>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</si>
  <si>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</si>
  <si>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</si>
  <si>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</si>
  <si>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</si>
  <si>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</si>
  <si>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</si>
  <si>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</si>
  <si>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</si>
  <si>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</si>
  <si>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</si>
  <si>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</si>
  <si>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</si>
  <si>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</si>
  <si>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</si>
  <si>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</si>
  <si>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</si>
  <si>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</si>
  <si>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</si>
  <si>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</si>
  <si>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</si>
  <si>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</si>
  <si>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</si>
  <si>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</si>
  <si>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</si>
  <si>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</si>
  <si>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</si>
  <si>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</si>
  <si>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</si>
  <si>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</si>
  <si>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</si>
  <si>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</si>
  <si>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</si>
  <si>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</si>
  <si>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</si>
  <si>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</si>
  <si>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</si>
  <si>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</si>
  <si>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</si>
  <si>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</si>
  <si>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</si>
  <si>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</si>
  <si>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</si>
  <si>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</si>
  <si>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</si>
  <si>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</si>
  <si>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</si>
  <si>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</si>
  <si>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</si>
  <si>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</si>
  <si>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</si>
  <si>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</si>
  <si>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</si>
  <si>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</si>
  <si>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</si>
  <si>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</si>
  <si>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</si>
  <si>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</si>
  <si>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</si>
  <si>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</si>
  <si>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</si>
  <si>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</si>
  <si>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</si>
  <si>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</si>
  <si>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</si>
  <si>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</si>
  <si>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</si>
  <si>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</si>
  <si>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</si>
  <si>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</si>
  <si>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</si>
  <si>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</si>
  <si>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</si>
  <si>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</si>
  <si>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</si>
  <si>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</si>
  <si>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</si>
  <si>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</si>
  <si>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</si>
  <si>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</si>
  <si>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</si>
  <si>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</si>
  <si>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</si>
  <si>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</si>
  <si>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</si>
  <si>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</si>
  <si>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</si>
  <si>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</si>
  <si>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</si>
  <si>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</si>
  <si>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</si>
  <si>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</si>
  <si>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</si>
  <si>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</si>
  <si>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</si>
  <si>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</si>
  <si>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</si>
  <si>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</si>
  <si>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</si>
  <si>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</si>
  <si>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</si>
  <si>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</si>
  <si>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</si>
  <si>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</si>
  <si>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</si>
  <si>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</si>
  <si>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</si>
  <si>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</si>
  <si>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</si>
  <si>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</si>
  <si>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</si>
  <si>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</si>
  <si>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</si>
  <si>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</si>
  <si>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</si>
  <si>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</si>
  <si>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</si>
  <si>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</si>
  <si>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</si>
  <si>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</si>
  <si>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</si>
  <si>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</si>
  <si>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</si>
  <si>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</si>
  <si>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</si>
  <si>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</si>
  <si>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</si>
  <si>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</si>
  <si>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</si>
  <si>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</si>
  <si>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</si>
  <si>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</si>
  <si>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</si>
  <si>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</si>
  <si>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</si>
  <si>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</si>
  <si>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</si>
  <si>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</si>
  <si>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</si>
  <si>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</si>
  <si>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</si>
  <si>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</si>
  <si>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</si>
  <si>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</si>
  <si>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</si>
  <si>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</si>
  <si>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</si>
  <si>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</si>
  <si>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</si>
  <si>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</si>
  <si>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</si>
  <si>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</si>
  <si>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</si>
  <si>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</si>
  <si>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</si>
  <si>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</si>
  <si>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</si>
  <si>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</si>
  <si>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</si>
  <si>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</si>
  <si>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</si>
  <si>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</si>
  <si>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</si>
  <si>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</si>
  <si>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</si>
  <si>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</si>
  <si>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</si>
  <si>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</si>
  <si>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</si>
  <si>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</si>
  <si>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</si>
  <si>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</si>
  <si>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</si>
  <si>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</si>
  <si>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</si>
  <si>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</si>
  <si>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</si>
  <si>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</si>
  <si>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</si>
  <si>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</si>
  <si>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</si>
  <si>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</si>
  <si>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</si>
  <si>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</si>
  <si>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</si>
  <si>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</si>
  <si>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</si>
  <si>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</si>
  <si>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</si>
  <si>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</si>
  <si>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</si>
  <si>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</si>
  <si>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</si>
  <si>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</si>
  <si>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</si>
  <si>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</si>
  <si>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</si>
  <si>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</si>
  <si>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</si>
  <si>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</si>
  <si>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</si>
  <si>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</si>
  <si>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</si>
  <si>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</si>
  <si>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</si>
  <si>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</si>
  <si>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</si>
  <si>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</si>
  <si>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</si>
  <si>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</si>
  <si>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</si>
  <si>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</si>
  <si>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</si>
  <si>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</si>
  <si>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</si>
  <si>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</si>
  <si>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</si>
  <si>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</si>
  <si>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</si>
  <si>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</si>
  <si>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</si>
  <si>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</si>
  <si>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</si>
  <si>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</si>
  <si>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</si>
  <si>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</si>
  <si>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</si>
  <si>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</si>
  <si>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</si>
  <si>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</si>
  <si>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</si>
  <si>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</si>
  <si>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</si>
  <si>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</si>
  <si>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</si>
  <si>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</si>
  <si>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</si>
  <si>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</si>
  <si>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</si>
  <si>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</si>
  <si>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</si>
  <si>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</si>
  <si>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</si>
  <si>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</si>
  <si>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</si>
  <si>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</si>
  <si>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</si>
  <si>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</si>
  <si>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</si>
  <si>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</si>
  <si>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</si>
  <si>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</si>
  <si>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</si>
  <si>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</si>
  <si>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</si>
  <si>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</si>
  <si>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</si>
  <si>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</si>
  <si>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</si>
  <si>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</si>
  <si>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</si>
  <si>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</si>
  <si>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</si>
  <si>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</si>
  <si>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</si>
  <si>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</si>
  <si>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</si>
  <si>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</si>
  <si>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</si>
  <si>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</si>
  <si>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</si>
  <si>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</si>
  <si>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</si>
  <si>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</si>
  <si>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</si>
  <si>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</si>
  <si>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</si>
  <si>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</si>
  <si>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</si>
  <si>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</si>
  <si>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</si>
  <si>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</si>
  <si>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</si>
  <si>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</si>
  <si>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</si>
  <si>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</si>
  <si>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</si>
  <si>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</si>
  <si>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</si>
  <si>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</si>
  <si>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</si>
  <si>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</si>
  <si>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</si>
  <si>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</si>
  <si>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</si>
  <si>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</si>
  <si>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</si>
  <si>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</si>
  <si>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</si>
  <si>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</si>
  <si>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</si>
  <si>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</si>
  <si>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</si>
  <si>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</si>
  <si>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</si>
  <si>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</si>
  <si>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</si>
  <si>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</si>
  <si>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</si>
  <si>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</si>
  <si>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</si>
  <si>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</si>
  <si>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</si>
  <si>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</si>
  <si>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</si>
  <si>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</si>
  <si>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</si>
  <si>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</si>
  <si>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</si>
  <si>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</si>
  <si>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</si>
  <si>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</si>
  <si>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</si>
  <si>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</si>
  <si>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</si>
  <si>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</si>
  <si>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</si>
  <si>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</si>
  <si>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</si>
  <si>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</si>
  <si>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</si>
  <si>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</si>
  <si>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</si>
  <si>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</si>
  <si>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</si>
  <si>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</si>
  <si>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</si>
  <si>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</si>
  <si>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</si>
  <si>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</si>
  <si>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</si>
  <si>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</si>
  <si>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</si>
  <si>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</si>
  <si>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</si>
  <si>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</si>
  <si>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</si>
  <si>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</si>
  <si>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</si>
  <si>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</si>
  <si>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</si>
  <si>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</si>
  <si>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</si>
  <si>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</si>
  <si>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</si>
  <si>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</si>
  <si>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</si>
  <si>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</si>
  <si>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</si>
  <si>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</si>
  <si>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</si>
  <si>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</si>
  <si>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</si>
  <si>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</si>
  <si>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</si>
  <si>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</si>
  <si>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</si>
  <si>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</si>
  <si>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</si>
  <si>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</si>
  <si>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</si>
  <si>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</si>
  <si>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</si>
  <si>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</si>
  <si>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</si>
  <si>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</si>
  <si>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</si>
  <si>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</si>
  <si>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</si>
  <si>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</si>
  <si>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</si>
  <si>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</si>
  <si>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</si>
  <si>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</si>
  <si>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</si>
  <si>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</si>
  <si>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</si>
  <si>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</si>
  <si>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</si>
  <si>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</si>
  <si>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</si>
  <si>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</si>
  <si>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</si>
  <si>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</si>
  <si>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</si>
  <si>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</si>
  <si>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</si>
  <si>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</si>
  <si>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</si>
  <si>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</si>
  <si>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</si>
  <si>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</si>
  <si>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</si>
  <si>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</si>
  <si>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</si>
  <si>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</si>
  <si>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</si>
  <si>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</si>
  <si>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</si>
  <si>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</si>
  <si>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</si>
  <si>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</si>
  <si>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</si>
  <si>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</si>
  <si>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</si>
  <si>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</si>
  <si>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</si>
  <si>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</si>
  <si>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</si>
  <si>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</si>
  <si>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</si>
  <si>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</si>
  <si>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</si>
  <si>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</si>
  <si>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</si>
  <si>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</si>
  <si>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</si>
  <si>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</si>
  <si>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</si>
  <si>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</si>
  <si>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</si>
  <si>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</si>
  <si>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</si>
  <si>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</si>
  <si>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</si>
  <si>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</si>
  <si>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</si>
  <si>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</si>
  <si>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</si>
  <si>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</si>
  <si>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</si>
  <si>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</si>
  <si>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</si>
  <si>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</si>
  <si>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</si>
  <si>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</si>
  <si>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</si>
  <si>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</si>
  <si>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</si>
  <si>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</si>
  <si>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</si>
  <si>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</si>
  <si>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</si>
  <si>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</si>
  <si>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</si>
  <si>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</si>
  <si>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</si>
  <si>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</si>
  <si>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</si>
  <si>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</si>
  <si>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</si>
  <si>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</si>
  <si>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</si>
  <si>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</si>
  <si>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</si>
  <si>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</si>
  <si>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</si>
  <si>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</si>
  <si>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</si>
  <si>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</si>
  <si>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</si>
  <si>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</si>
  <si>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</si>
  <si>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</si>
  <si>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</si>
  <si>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</si>
  <si>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</si>
  <si>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</si>
  <si>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</si>
  <si>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</si>
  <si>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</si>
  <si>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</si>
  <si>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</si>
  <si>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</si>
  <si>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</si>
  <si>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</si>
  <si>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</si>
  <si>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</si>
  <si>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</si>
  <si>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</si>
  <si>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</si>
  <si>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</si>
  <si>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</si>
  <si>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</si>
  <si>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</si>
  <si>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</si>
  <si>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</si>
  <si>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</si>
  <si>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</si>
  <si>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</si>
  <si>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</si>
  <si>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</si>
  <si>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</si>
  <si>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</si>
  <si>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</si>
  <si>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</si>
  <si>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</si>
  <si>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</si>
  <si>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</si>
  <si>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</si>
  <si>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</si>
  <si>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</si>
  <si>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</si>
  <si>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</si>
  <si>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</si>
  <si>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</si>
  <si>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</si>
  <si>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</si>
  <si>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</si>
  <si>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</si>
  <si>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</si>
  <si>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</si>
  <si>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</si>
  <si>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</si>
  <si>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</si>
  <si>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</si>
  <si>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</si>
  <si>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</si>
  <si>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</si>
  <si>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</si>
  <si>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</si>
  <si>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</si>
  <si>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</si>
  <si>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</si>
  <si>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</si>
  <si>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</si>
  <si>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</si>
  <si>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</si>
  <si>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</si>
  <si>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</si>
  <si>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</si>
  <si>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</si>
  <si>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</si>
  <si>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</si>
  <si>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</si>
  <si>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</si>
  <si>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</si>
  <si>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</si>
  <si>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</si>
  <si>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</si>
  <si>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</si>
  <si>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</si>
  <si>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</si>
  <si>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</si>
  <si>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</si>
  <si>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</si>
  <si>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</si>
  <si>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</si>
  <si>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</si>
  <si>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</si>
  <si>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</si>
  <si>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</si>
  <si>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</si>
  <si>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</si>
  <si>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</si>
  <si>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</si>
  <si>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</si>
  <si>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</si>
  <si>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</si>
  <si>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</si>
  <si>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</si>
  <si>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</si>
  <si>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</si>
  <si>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</si>
  <si>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</si>
  <si>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</si>
  <si>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</si>
  <si>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</si>
  <si>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</si>
  <si>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</si>
  <si>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</si>
  <si>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</si>
  <si>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</si>
  <si>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</si>
  <si>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</si>
  <si>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</si>
  <si>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</si>
  <si>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</si>
  <si>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</si>
  <si>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</si>
  <si>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</si>
  <si>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</si>
  <si>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</si>
  <si>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</si>
  <si>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</si>
  <si>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</si>
  <si>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</si>
  <si>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</si>
  <si>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</si>
  <si>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</si>
  <si>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</si>
  <si>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</si>
  <si>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</si>
  <si>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</si>
  <si>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</si>
  <si>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</si>
  <si>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</si>
  <si>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</si>
  <si>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</si>
  <si>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</si>
  <si>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</si>
  <si>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</si>
  <si>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</si>
  <si>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</si>
  <si>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</si>
  <si>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</si>
  <si>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</si>
  <si>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</si>
  <si>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</si>
  <si>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</si>
  <si>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</si>
  <si>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</si>
  <si>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</si>
  <si>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</si>
  <si>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</si>
  <si>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</si>
  <si>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</si>
  <si>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</si>
  <si>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</si>
  <si>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</si>
  <si>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</si>
  <si>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</si>
  <si>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</si>
  <si>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</si>
  <si>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</si>
  <si>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</si>
  <si>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</si>
  <si>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</si>
  <si>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</si>
  <si>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</si>
  <si>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</si>
  <si>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</si>
  <si>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</si>
  <si>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</si>
  <si>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</si>
  <si>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</si>
  <si>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</si>
  <si>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</si>
  <si>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</si>
  <si>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</si>
  <si>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</si>
  <si>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</si>
  <si>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</si>
  <si>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</si>
  <si>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</si>
  <si>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</si>
  <si>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</si>
  <si>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</si>
  <si>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</si>
  <si>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</si>
  <si>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</si>
  <si>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</si>
  <si>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</si>
  <si>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</si>
  <si>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</si>
  <si>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</si>
  <si>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</si>
  <si>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</si>
  <si>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</si>
  <si>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</si>
  <si>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</si>
  <si>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</si>
  <si>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</si>
  <si>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</si>
  <si>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</si>
  <si>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</si>
  <si>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</si>
  <si>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</si>
  <si>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</si>
  <si>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</si>
  <si>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</si>
  <si>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</si>
  <si>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</si>
  <si>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</si>
  <si>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</si>
  <si>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</si>
  <si>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</si>
  <si>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</si>
  <si>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</si>
  <si>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</si>
  <si>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</si>
  <si>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</si>
  <si>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</si>
  <si>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</si>
  <si>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</si>
  <si>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</si>
  <si>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</si>
  <si>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</si>
  <si>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</si>
  <si>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</si>
  <si>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</si>
  <si>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</si>
  <si>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</si>
  <si>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</si>
  <si>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</si>
  <si>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</si>
  <si>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</si>
  <si>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</si>
  <si>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</si>
  <si>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</si>
  <si>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</si>
  <si>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</si>
  <si>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</si>
  <si>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</si>
  <si>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</si>
  <si>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</si>
  <si>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</si>
  <si>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</si>
  <si>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</si>
  <si>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</si>
  <si>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</si>
  <si>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</si>
  <si>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</si>
  <si>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</si>
  <si>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</si>
  <si>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</si>
  <si>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</si>
  <si>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</si>
  <si>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</si>
  <si>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</si>
  <si>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</si>
  <si>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</si>
  <si>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</si>
  <si>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</si>
  <si>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</si>
  <si>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</si>
  <si>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</si>
  <si>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</si>
  <si>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</si>
  <si>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</si>
  <si>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</si>
  <si>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</si>
  <si>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</si>
  <si>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</si>
  <si>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</si>
  <si>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</si>
  <si>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</si>
  <si>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</si>
  <si>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</si>
  <si>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</si>
  <si>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</si>
  <si>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</si>
  <si>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</si>
  <si>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</si>
  <si>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</si>
  <si>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</si>
  <si>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</si>
  <si>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</si>
  <si>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</si>
  <si>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</si>
  <si>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</si>
  <si>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</si>
  <si>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</si>
  <si>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</si>
  <si>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</si>
  <si>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</si>
  <si>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</si>
  <si>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</si>
  <si>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</si>
  <si>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</si>
  <si>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</si>
  <si>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</si>
  <si>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</si>
  <si>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</si>
  <si>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</si>
  <si>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</si>
  <si>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</si>
  <si>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</si>
  <si>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</si>
  <si>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</si>
  <si>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</si>
  <si>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</si>
  <si>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</si>
  <si>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</si>
  <si>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</si>
  <si>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</si>
  <si>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</si>
  <si>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</si>
  <si>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</si>
  <si>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</si>
  <si>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</si>
  <si>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</si>
  <si>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</si>
  <si>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</si>
  <si>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</si>
  <si>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</si>
  <si>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</si>
  <si>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</si>
  <si>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</si>
  <si>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</si>
  <si>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</si>
  <si>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</si>
  <si>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</si>
  <si>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</si>
  <si>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</si>
  <si>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</si>
  <si>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</si>
  <si>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</si>
  <si>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</si>
  <si>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</si>
  <si>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</si>
  <si>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</si>
  <si>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</si>
  <si>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</si>
  <si>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</si>
  <si>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</si>
  <si>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</si>
  <si>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</si>
  <si>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</si>
  <si>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</si>
  <si>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</si>
  <si>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</si>
  <si>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</si>
  <si>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</si>
  <si>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</si>
  <si>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</si>
  <si>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</si>
  <si>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</si>
  <si>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</si>
  <si>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</si>
  <si>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</si>
  <si>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</si>
  <si>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</si>
  <si>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</si>
  <si>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</si>
  <si>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</si>
  <si>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</si>
  <si>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</si>
  <si>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</si>
  <si>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</si>
  <si>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</si>
  <si>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</si>
  <si>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</si>
  <si>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</si>
  <si>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</si>
  <si>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</si>
  <si>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</si>
  <si>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</si>
  <si>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</si>
  <si>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</si>
  <si>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</si>
  <si>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</si>
  <si>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</si>
  <si>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</si>
  <si>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</si>
  <si>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</si>
  <si>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</si>
  <si>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</si>
  <si>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</si>
  <si>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</si>
  <si>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</si>
  <si>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</si>
  <si>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</si>
  <si>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</si>
  <si>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</si>
  <si>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</si>
  <si>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</si>
  <si>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</si>
  <si>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</si>
  <si>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</si>
  <si>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</si>
  <si>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</si>
  <si>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</si>
  <si>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</si>
  <si>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</si>
  <si>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</si>
  <si>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</si>
  <si>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</si>
  <si>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</si>
  <si>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</si>
  <si>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</si>
  <si>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</si>
  <si>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</si>
  <si>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</si>
  <si>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</si>
  <si>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</si>
  <si>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</si>
  <si>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</si>
  <si>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</si>
  <si>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</si>
  <si>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</si>
  <si>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</si>
  <si>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</si>
  <si>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</si>
  <si>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</si>
  <si>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</si>
  <si>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</si>
  <si>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</si>
  <si>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</si>
  <si>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</si>
  <si>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</si>
  <si>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</si>
  <si>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</si>
  <si>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</si>
  <si>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</si>
  <si>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</si>
  <si>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</si>
  <si>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</si>
  <si>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</si>
  <si>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</si>
  <si>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</si>
  <si>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</si>
  <si>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</si>
  <si>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</si>
  <si>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</si>
  <si>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</si>
  <si>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</si>
  <si>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</si>
  <si>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</si>
  <si>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</si>
  <si>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</si>
  <si>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</si>
  <si>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</si>
  <si>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</si>
  <si>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</si>
  <si>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</si>
  <si>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</si>
  <si>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</si>
  <si>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</si>
  <si>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</si>
  <si>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</si>
  <si>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</si>
  <si>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</si>
  <si>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</si>
  <si>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</si>
  <si>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</si>
  <si>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</si>
  <si>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</si>
  <si>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</si>
  <si>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</si>
  <si>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</si>
  <si>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</si>
  <si>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</si>
  <si>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</si>
  <si>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</si>
  <si>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</si>
  <si>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</si>
  <si>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</si>
  <si>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</si>
  <si>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</si>
  <si>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</si>
  <si>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</si>
  <si>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</si>
  <si>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</si>
  <si>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</si>
  <si>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</si>
  <si>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</si>
  <si>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</si>
  <si>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</si>
  <si>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</si>
  <si>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</si>
  <si>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</si>
  <si>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</si>
  <si>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</si>
  <si>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</si>
  <si>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</si>
  <si>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</si>
  <si>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</si>
  <si>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</si>
  <si>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</si>
  <si>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</si>
  <si>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</si>
  <si>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</si>
  <si>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</si>
  <si>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</si>
  <si>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</si>
  <si>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</si>
  <si>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</si>
  <si>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</si>
  <si>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</si>
  <si>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</si>
  <si>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</si>
  <si>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</si>
  <si>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</si>
  <si>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</si>
  <si>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</si>
  <si>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</si>
  <si>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</si>
  <si>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</si>
  <si>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</si>
  <si>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</si>
  <si>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</si>
  <si>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</si>
  <si>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</si>
  <si>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</si>
  <si>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</si>
  <si>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</si>
  <si>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</si>
  <si>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</si>
  <si>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</si>
  <si>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</si>
  <si>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</si>
  <si>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</si>
  <si>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</si>
  <si>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</si>
  <si>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</si>
  <si>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</si>
  <si>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</si>
  <si>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</si>
  <si>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</si>
  <si>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</si>
  <si>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</si>
  <si>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</si>
  <si>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</si>
  <si>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</si>
  <si>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</si>
  <si>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</si>
  <si>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</si>
  <si>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</si>
  <si>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</si>
  <si>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</si>
  <si>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</si>
  <si>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</si>
  <si>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</si>
  <si>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</si>
  <si>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</si>
  <si>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</si>
  <si>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</si>
  <si>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</si>
  <si>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</si>
  <si>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</si>
  <si>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</si>
  <si>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</si>
  <si>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</si>
  <si>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</si>
  <si>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</si>
  <si>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</si>
  <si>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</si>
  <si>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</si>
  <si>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</si>
  <si>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</si>
  <si>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</si>
  <si>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</si>
  <si>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</si>
  <si>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</si>
  <si>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</si>
  <si>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</si>
  <si>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</si>
  <si>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</si>
  <si>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</si>
  <si>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</si>
  <si>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</si>
  <si>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</si>
  <si>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</si>
  <si>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</si>
  <si>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</si>
  <si>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</si>
  <si>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</si>
  <si>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</si>
  <si>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</si>
  <si>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</si>
  <si>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</si>
  <si>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</si>
  <si>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</si>
  <si>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</si>
  <si>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</si>
  <si>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</si>
  <si>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</si>
  <si>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</si>
  <si>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</si>
  <si>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</si>
  <si>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</si>
  <si>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</si>
  <si>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</si>
  <si>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</si>
  <si>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</si>
  <si>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</si>
  <si>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</si>
  <si>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</si>
  <si>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</si>
  <si>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</si>
  <si>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</si>
  <si>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</si>
  <si>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</si>
  <si>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</si>
  <si>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</si>
  <si>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</si>
  <si>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</si>
  <si>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</si>
  <si>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</si>
  <si>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</si>
  <si>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</si>
  <si>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</si>
  <si>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</si>
  <si>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</si>
  <si>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</si>
  <si>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</si>
  <si>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</si>
  <si>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</si>
  <si>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</si>
  <si>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</si>
  <si>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</si>
  <si>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</si>
  <si>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</si>
  <si>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</si>
  <si>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</si>
  <si>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</si>
  <si>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</si>
  <si>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</si>
  <si>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</si>
  <si>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</si>
  <si>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</si>
  <si>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</si>
  <si>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</si>
  <si>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</si>
  <si>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</si>
  <si>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</si>
  <si>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</si>
  <si>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</si>
  <si>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</si>
  <si>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</si>
  <si>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</si>
  <si>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</si>
  <si>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</si>
  <si>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</si>
  <si>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</si>
  <si>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</si>
  <si>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</si>
  <si>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</si>
  <si>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</si>
  <si>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</si>
  <si>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</si>
  <si>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</si>
  <si>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</si>
  <si>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</si>
  <si>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</si>
  <si>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</si>
  <si>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</si>
  <si>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</si>
  <si>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</si>
  <si>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</si>
  <si>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</si>
  <si>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</si>
  <si>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</si>
  <si>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</si>
  <si>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</si>
  <si>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</si>
  <si>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</si>
  <si>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</si>
  <si>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</si>
  <si>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</si>
  <si>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</si>
  <si>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</si>
  <si>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</si>
  <si>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</si>
  <si>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</si>
  <si>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</si>
  <si>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</si>
  <si>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</si>
  <si>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</si>
  <si>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</si>
  <si>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</si>
  <si>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</si>
  <si>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</si>
  <si>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</si>
  <si>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</si>
  <si>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</si>
  <si>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</si>
  <si>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</si>
  <si>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</si>
  <si>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</si>
  <si>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</si>
  <si>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</si>
  <si>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</si>
  <si>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</si>
  <si>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</si>
  <si>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</si>
  <si>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</si>
  <si>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</si>
  <si>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</si>
  <si>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</si>
  <si>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</si>
  <si>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</si>
  <si>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</si>
  <si>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</si>
  <si>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</si>
  <si>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</si>
  <si>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</si>
  <si>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</si>
  <si>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</si>
  <si>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</si>
  <si>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</si>
  <si>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</si>
  <si>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</si>
  <si>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</si>
  <si>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</si>
  <si>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</si>
  <si>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</si>
  <si>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</si>
  <si>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</si>
  <si>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</si>
  <si>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</si>
  <si>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</si>
  <si>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</si>
  <si>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</si>
  <si>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</si>
  <si>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</si>
  <si>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</si>
  <si>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</si>
  <si>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</si>
  <si>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</si>
  <si>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</si>
  <si>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</si>
  <si>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</si>
  <si>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</si>
  <si>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</si>
  <si>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</si>
  <si>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</si>
  <si>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</si>
  <si>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</si>
  <si>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</si>
  <si>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</si>
  <si>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</si>
  <si>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</si>
  <si>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</si>
  <si>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</si>
  <si>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</si>
  <si>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</si>
  <si>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</si>
  <si>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</si>
  <si>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</si>
  <si>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</si>
  <si>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</si>
  <si>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</si>
  <si>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</si>
  <si>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</si>
  <si>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</si>
  <si>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</si>
  <si>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</si>
  <si>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</si>
  <si>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</si>
  <si>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</si>
  <si>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</si>
  <si>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</si>
  <si>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</si>
  <si>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</si>
  <si>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</si>
  <si>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</si>
  <si>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</si>
  <si>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</si>
  <si>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</si>
  <si>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</si>
  <si>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</si>
  <si>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</si>
  <si>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</si>
  <si>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</si>
  <si>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</si>
  <si>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</si>
  <si>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</si>
  <si>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</si>
  <si>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</si>
  <si>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</si>
  <si>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</si>
  <si>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</si>
  <si>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</si>
  <si>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</si>
  <si>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</si>
  <si>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</si>
  <si>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</si>
  <si>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</si>
  <si>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</si>
  <si>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</si>
  <si>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</si>
  <si>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</si>
  <si>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</si>
  <si>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</si>
  <si>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</si>
  <si>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</si>
  <si>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</si>
  <si>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</si>
  <si>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</si>
  <si>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</si>
  <si>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</si>
  <si>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</si>
  <si>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</si>
  <si>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</si>
  <si>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</si>
  <si>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</si>
  <si>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</si>
  <si>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</si>
  <si>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</si>
  <si>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</si>
  <si>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</si>
  <si>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</si>
  <si>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</si>
  <si>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</si>
  <si>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</si>
  <si>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</si>
  <si>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</si>
  <si>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</si>
  <si>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</si>
  <si>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</si>
  <si>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</si>
  <si>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</si>
  <si>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</si>
  <si>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</si>
  <si>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</si>
  <si>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</si>
  <si>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</si>
  <si>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</si>
  <si>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</si>
  <si>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</si>
  <si>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</si>
  <si>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</si>
  <si>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</si>
  <si>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</si>
  <si>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</si>
  <si>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</si>
  <si>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</si>
  <si>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</si>
  <si>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</si>
  <si>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</si>
  <si>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</si>
  <si>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</si>
  <si>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</si>
  <si>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</si>
  <si>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</si>
  <si>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</si>
  <si>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</si>
  <si>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</si>
  <si>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</si>
  <si>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</si>
  <si>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</si>
  <si>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</si>
  <si>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</si>
  <si>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</si>
  <si>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</si>
  <si>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</si>
  <si>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</si>
  <si>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</si>
  <si>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</si>
  <si>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</si>
  <si>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</si>
  <si>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</si>
  <si>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</si>
  <si>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</si>
  <si>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</si>
  <si>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</si>
  <si>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</si>
  <si>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</si>
  <si>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</si>
  <si>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</si>
  <si>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</si>
  <si>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</si>
  <si>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</si>
  <si>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</si>
  <si>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</si>
  <si>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</si>
  <si>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</si>
  <si>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</si>
  <si>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</si>
  <si>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</si>
  <si>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</si>
  <si>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</si>
  <si>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</si>
  <si>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</si>
  <si>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</si>
  <si>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</si>
  <si>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</si>
  <si>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</si>
  <si>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</si>
  <si>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</si>
  <si>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</si>
  <si>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</si>
  <si>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</si>
  <si>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</si>
  <si>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</si>
  <si>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</si>
  <si>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</si>
  <si>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</si>
  <si>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</si>
  <si>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</si>
  <si>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</si>
  <si>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</si>
  <si>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</si>
  <si>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</si>
  <si>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</si>
  <si>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</si>
  <si>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</si>
  <si>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</si>
  <si>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</si>
  <si>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</si>
  <si>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</si>
  <si>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</si>
  <si>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</si>
  <si>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</si>
  <si>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</si>
  <si>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</si>
  <si>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</si>
  <si>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</si>
  <si>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</si>
  <si>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</si>
  <si>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</si>
  <si>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</si>
  <si>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</si>
  <si>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</si>
  <si>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</si>
  <si>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</si>
  <si>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</si>
  <si>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</si>
  <si>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</si>
  <si>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</si>
  <si>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</si>
  <si>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</si>
  <si>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</si>
  <si>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</si>
  <si>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</si>
  <si>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</si>
  <si>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</si>
  <si>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</si>
  <si>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</si>
  <si>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</si>
  <si>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</si>
  <si>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</si>
  <si>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</si>
  <si>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</si>
  <si>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</si>
  <si>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</si>
  <si>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</si>
  <si>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</si>
  <si>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</si>
  <si>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</si>
  <si>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</si>
  <si>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</si>
  <si>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</si>
  <si>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</si>
  <si>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</si>
  <si>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</si>
  <si>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</si>
  <si>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</si>
  <si>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</si>
  <si>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</si>
  <si>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</si>
  <si>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</si>
  <si>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</si>
  <si>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</si>
  <si>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</si>
  <si>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</si>
  <si>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</si>
  <si>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</si>
  <si>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</si>
  <si>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</si>
  <si>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</si>
  <si>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</si>
  <si>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</si>
  <si>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</si>
  <si>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</si>
  <si>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</si>
  <si>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</si>
  <si>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</si>
  <si>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</si>
  <si>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</si>
  <si>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</si>
  <si>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</si>
  <si>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</si>
  <si>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</si>
  <si>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</si>
  <si>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</si>
  <si>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</si>
  <si>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</si>
  <si>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</si>
  <si>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</si>
  <si>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</si>
  <si>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</si>
  <si>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</si>
  <si>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</si>
  <si>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</si>
  <si>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</si>
  <si>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</si>
  <si>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</si>
  <si>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</si>
  <si>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</si>
  <si>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</si>
  <si>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</si>
  <si>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</si>
  <si>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</si>
  <si>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</si>
  <si>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</si>
  <si>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</si>
  <si>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</si>
  <si>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</si>
  <si>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</si>
  <si>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</si>
  <si>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</si>
  <si>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</si>
  <si>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</si>
  <si>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</si>
  <si>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</si>
  <si>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</si>
  <si>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</si>
  <si>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</si>
  <si>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</si>
  <si>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</si>
  <si>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</si>
  <si>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</si>
  <si>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</si>
  <si>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</si>
  <si>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</si>
  <si>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</si>
  <si>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</si>
  <si>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</si>
  <si>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</si>
  <si>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</si>
  <si>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</si>
  <si>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</si>
  <si>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</si>
  <si>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</si>
  <si>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</si>
  <si>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</si>
  <si>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</si>
  <si>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</si>
  <si>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</si>
  <si>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</si>
  <si>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</si>
  <si>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</si>
  <si>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</si>
  <si>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</si>
  <si>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</si>
  <si>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</si>
  <si>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</si>
  <si>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</si>
  <si>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</si>
  <si>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</si>
  <si>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</si>
  <si>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</si>
  <si>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</si>
  <si>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</si>
  <si>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</si>
  <si>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</si>
  <si>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</si>
  <si>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</si>
  <si>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</si>
  <si>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</si>
  <si>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</si>
  <si>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</si>
  <si>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</si>
  <si>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</si>
  <si>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</si>
  <si>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</si>
  <si>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</si>
  <si>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</si>
  <si>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</si>
  <si>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</si>
  <si>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</si>
  <si>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</si>
  <si>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</si>
  <si>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</si>
  <si>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</si>
  <si>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</si>
  <si>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</si>
  <si>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</si>
  <si>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</si>
  <si>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</si>
  <si>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</si>
  <si>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</si>
  <si>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</si>
  <si>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</si>
  <si>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</si>
  <si>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</si>
  <si>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</si>
  <si>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</si>
  <si>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</si>
  <si>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</si>
  <si>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</si>
  <si>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</si>
  <si>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</si>
  <si>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</si>
  <si>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</si>
  <si>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</si>
  <si>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</si>
  <si>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</si>
  <si>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</si>
  <si>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</si>
  <si>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</si>
  <si>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</si>
  <si>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</si>
  <si>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</si>
  <si>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</si>
  <si>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</si>
  <si>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</si>
  <si>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</si>
  <si>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</si>
  <si>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</si>
  <si>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</si>
  <si>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</si>
  <si>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</si>
  <si>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</si>
  <si>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</si>
  <si>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</si>
  <si>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</si>
  <si>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</si>
  <si>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</si>
  <si>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</si>
  <si>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</si>
  <si>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</si>
  <si>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</si>
  <si>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</si>
  <si>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</si>
  <si>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</si>
  <si>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</si>
  <si>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</si>
  <si>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</si>
  <si>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</si>
  <si>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</si>
  <si>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</si>
  <si>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</si>
  <si>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</si>
  <si>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</si>
  <si>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</si>
  <si>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</si>
  <si>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</si>
  <si>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</si>
  <si>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</si>
  <si>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</si>
  <si>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</si>
  <si>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</si>
  <si>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</si>
  <si>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</si>
  <si>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</si>
  <si>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</si>
  <si>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</si>
  <si>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</si>
  <si>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</si>
  <si>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</si>
  <si>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</si>
  <si>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</si>
  <si>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</si>
  <si>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</si>
  <si>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</si>
  <si>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</si>
  <si>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</si>
  <si>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</si>
  <si>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</si>
  <si>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</si>
  <si>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</si>
  <si>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</si>
  <si>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</si>
  <si>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</si>
  <si>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</si>
  <si>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</si>
  <si>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</si>
  <si>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</si>
  <si>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</si>
  <si>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</si>
  <si>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</si>
  <si>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</si>
  <si>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</si>
  <si>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</si>
  <si>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</si>
  <si>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</si>
  <si>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</si>
  <si>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</si>
  <si>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</si>
  <si>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</si>
  <si>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</si>
  <si>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</si>
  <si>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</si>
  <si>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</si>
  <si>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</si>
  <si>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</si>
  <si>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</si>
  <si>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</si>
  <si>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</si>
  <si>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</si>
  <si>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</si>
  <si>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</si>
  <si>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</si>
  <si>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</si>
  <si>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</si>
  <si>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</si>
  <si>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</si>
  <si>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</si>
  <si>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</si>
  <si>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</si>
  <si>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</si>
  <si>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</si>
  <si>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</si>
  <si>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</si>
  <si>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</si>
  <si>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</si>
  <si>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</si>
  <si>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</si>
  <si>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</si>
  <si>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</si>
  <si>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</si>
  <si>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</si>
  <si>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</si>
  <si>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</si>
  <si>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</si>
  <si>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</si>
  <si>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</si>
  <si>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</si>
  <si>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</si>
  <si>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</si>
  <si>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</si>
  <si>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</si>
  <si>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</si>
  <si>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</si>
  <si>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</si>
  <si>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</si>
  <si>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</si>
  <si>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</si>
  <si>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</si>
  <si>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</si>
  <si>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</si>
  <si>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</si>
  <si>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</si>
  <si>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</si>
  <si>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</si>
  <si>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</si>
  <si>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</si>
  <si>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</si>
  <si>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</si>
  <si>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</si>
  <si>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</si>
  <si>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</si>
  <si>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</si>
  <si>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</si>
  <si>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</si>
  <si>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</si>
  <si>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</si>
  <si>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</si>
  <si>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</si>
  <si>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</si>
  <si>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</si>
  <si>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</si>
  <si>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</si>
  <si>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</si>
  <si>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</si>
  <si>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</si>
  <si>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</si>
  <si>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</si>
  <si>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</si>
  <si>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</si>
  <si>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</si>
  <si>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</si>
  <si>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</si>
  <si>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</si>
  <si>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</si>
  <si>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</si>
  <si>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</si>
  <si>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</si>
  <si>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</si>
  <si>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</si>
  <si>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</si>
  <si>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</si>
  <si>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</si>
  <si>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</si>
  <si>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</si>
  <si>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</si>
  <si>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</si>
  <si>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</si>
  <si>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</si>
  <si>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</si>
  <si>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</si>
  <si>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</si>
  <si>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</si>
  <si>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</si>
  <si>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</si>
  <si>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</si>
  <si>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</si>
  <si>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</si>
  <si>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</si>
  <si>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</si>
  <si>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</si>
  <si>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</si>
  <si>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</si>
  <si>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</si>
  <si>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</si>
  <si>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</si>
  <si>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</si>
  <si>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</si>
  <si>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</si>
  <si>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</si>
  <si>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</si>
  <si>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</si>
  <si>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</si>
  <si>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</si>
  <si>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</si>
  <si>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</si>
  <si>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</si>
  <si>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</si>
  <si>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</si>
  <si>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</si>
  <si>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</si>
  <si>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</si>
  <si>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</si>
  <si>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</si>
  <si>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</si>
  <si>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</si>
  <si>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</si>
  <si>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</si>
  <si>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</si>
  <si>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</si>
  <si>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</si>
  <si>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</si>
  <si>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</si>
  <si>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</si>
  <si>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</si>
  <si>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</si>
  <si>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</si>
  <si>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</si>
  <si>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</si>
  <si>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</si>
  <si>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</si>
  <si>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</si>
  <si>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</si>
  <si>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</si>
  <si>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</si>
  <si>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</si>
  <si>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</si>
  <si>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</si>
  <si>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</si>
  <si>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</si>
  <si>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</si>
  <si>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</si>
  <si>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</si>
  <si>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</si>
  <si>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</si>
  <si>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</si>
  <si>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</si>
  <si>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</si>
  <si>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</si>
  <si>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</si>
  <si>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</si>
  <si>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</si>
  <si>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</si>
  <si>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</si>
  <si>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</si>
  <si>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</si>
  <si>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</si>
  <si>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</si>
  <si>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</si>
  <si>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</si>
  <si>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</si>
  <si>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</si>
  <si>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</si>
  <si>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</si>
  <si>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</si>
  <si>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</si>
  <si>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</si>
  <si>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</si>
  <si>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</si>
  <si>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</si>
  <si>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</si>
  <si>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</si>
  <si>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</si>
  <si>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</si>
  <si>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</si>
  <si>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</si>
  <si>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</si>
  <si>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</si>
  <si>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</si>
  <si>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</si>
  <si>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</si>
  <si>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</si>
  <si>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</si>
  <si>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</si>
  <si>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</si>
  <si>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</si>
  <si>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</si>
  <si>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</si>
  <si>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</si>
  <si>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</si>
  <si>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</si>
  <si>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</si>
  <si>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</si>
  <si>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</si>
  <si>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</si>
  <si>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</si>
  <si>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</si>
  <si>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</si>
  <si>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</si>
  <si>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</si>
  <si>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</si>
  <si>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</si>
  <si>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</si>
  <si>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</si>
  <si>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</si>
  <si>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</si>
  <si>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</si>
  <si>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</si>
  <si>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</si>
  <si>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</si>
  <si>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</si>
  <si>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</si>
  <si>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</si>
  <si>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</si>
  <si>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</si>
  <si>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</si>
  <si>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</si>
  <si>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</si>
  <si>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</si>
  <si>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</si>
  <si>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</si>
  <si>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</si>
  <si>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</si>
  <si>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</si>
  <si>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</si>
  <si>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</si>
  <si>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</si>
  <si>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</si>
  <si>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</si>
  <si>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</si>
  <si>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</si>
  <si>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</si>
  <si>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</si>
  <si>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</si>
  <si>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</si>
  <si>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</si>
  <si>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</si>
  <si>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</si>
  <si>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</si>
  <si>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</si>
  <si>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</si>
  <si>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</si>
  <si>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</si>
  <si>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</si>
  <si>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</si>
  <si>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</si>
  <si>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</si>
  <si>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</si>
  <si>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</si>
  <si>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</si>
  <si>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</si>
  <si>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</si>
  <si>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</si>
  <si>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</si>
  <si>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</si>
  <si>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</si>
  <si>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</si>
  <si>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</si>
  <si>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</si>
  <si>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</si>
  <si>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</si>
  <si>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</si>
  <si>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</si>
  <si>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</si>
  <si>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</si>
  <si>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</si>
  <si>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</si>
  <si>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</si>
  <si>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</si>
  <si>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</si>
  <si>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</si>
  <si>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</si>
  <si>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</si>
  <si>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</si>
  <si>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</si>
  <si>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</si>
  <si>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</si>
  <si>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</si>
  <si>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</si>
  <si>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</si>
  <si>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</si>
  <si>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</si>
  <si>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</si>
  <si>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</si>
  <si>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</si>
  <si>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</si>
  <si>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</si>
  <si>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</si>
  <si>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</si>
  <si>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</si>
  <si>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</si>
  <si>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</si>
  <si>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</si>
  <si>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</si>
  <si>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</si>
  <si>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</si>
  <si>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</si>
  <si>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</si>
  <si>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</si>
  <si>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</si>
  <si>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</si>
  <si>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</si>
  <si>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</si>
  <si>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</si>
  <si>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</si>
  <si>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</si>
  <si>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</si>
  <si>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</si>
  <si>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</si>
  <si>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</si>
  <si>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</si>
  <si>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</si>
  <si>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</si>
  <si>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</si>
  <si>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</si>
  <si>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</si>
  <si>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</si>
  <si>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</si>
  <si>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</si>
  <si>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</si>
  <si>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</si>
  <si>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</si>
  <si>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</si>
  <si>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</si>
  <si>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</si>
  <si>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</si>
  <si>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</si>
  <si>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</si>
  <si>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</si>
  <si>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</si>
  <si>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</si>
  <si>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</si>
  <si>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</si>
  <si>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</si>
  <si>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</si>
  <si>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</si>
  <si>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</si>
  <si>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</si>
  <si>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</si>
  <si>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</si>
  <si>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</si>
  <si>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</si>
  <si>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</si>
  <si>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</si>
  <si>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</si>
  <si>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</si>
  <si>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</si>
  <si>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</si>
  <si>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</si>
  <si>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</si>
  <si>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</si>
  <si>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</si>
  <si>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</si>
  <si>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</si>
  <si>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</si>
  <si>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</si>
  <si>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</si>
  <si>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</si>
  <si>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</si>
  <si>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</si>
  <si>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</si>
  <si>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</si>
  <si>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</si>
  <si>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</si>
  <si>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</si>
  <si>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</si>
  <si>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</si>
  <si>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</si>
  <si>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</si>
  <si>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</si>
  <si>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</si>
  <si>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</si>
  <si>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</si>
  <si>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</si>
  <si>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</si>
  <si>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</si>
  <si>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</si>
  <si>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</si>
  <si>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</si>
  <si>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</si>
  <si>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</si>
  <si>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</si>
  <si>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</si>
  <si>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</si>
  <si>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</si>
  <si>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</si>
  <si>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</si>
  <si>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</si>
  <si>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</si>
  <si>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</si>
  <si>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</si>
  <si>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</si>
  <si>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</si>
  <si>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</si>
  <si>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</si>
  <si>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</si>
  <si>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</si>
  <si>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</si>
  <si>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</si>
  <si>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</si>
  <si>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</si>
  <si>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</si>
  <si>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</si>
  <si>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</si>
  <si>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</si>
  <si>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</si>
  <si>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</si>
  <si>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</si>
  <si>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</si>
  <si>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</si>
  <si>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</si>
  <si>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</si>
  <si>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</si>
  <si>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</si>
  <si>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</si>
  <si>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</si>
  <si>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</si>
  <si>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</si>
  <si>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</si>
  <si>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</si>
  <si>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</si>
  <si>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</si>
  <si>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</si>
  <si>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</si>
  <si>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</si>
  <si>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</si>
  <si>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</si>
  <si>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</si>
  <si>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</si>
  <si>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</si>
  <si>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</si>
  <si>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</si>
  <si>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</si>
  <si>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</si>
  <si>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</si>
  <si>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</si>
  <si>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</si>
  <si>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</si>
  <si>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</si>
  <si>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</si>
  <si>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</si>
  <si>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</si>
  <si>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</si>
  <si>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</si>
  <si>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</si>
  <si>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</si>
  <si>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</si>
  <si>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</si>
  <si>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</si>
  <si>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</si>
  <si>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</si>
  <si>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</si>
  <si>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</si>
  <si>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</si>
  <si>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</si>
  <si>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</si>
  <si>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</si>
  <si>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</si>
  <si>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</si>
  <si>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</si>
  <si>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</si>
  <si>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</si>
  <si>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</si>
  <si>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</si>
  <si>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</si>
  <si>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</si>
  <si>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</si>
  <si>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</si>
  <si>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</si>
  <si>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</si>
  <si>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</si>
  <si>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</si>
  <si>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</si>
  <si>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</si>
  <si>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</si>
  <si>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</si>
  <si>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</si>
  <si>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</si>
  <si>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</si>
  <si>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</si>
  <si>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</si>
  <si>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</si>
  <si>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</si>
  <si>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</si>
  <si>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</si>
  <si>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</si>
  <si>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</si>
  <si>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</si>
  <si>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</si>
  <si>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</si>
  <si>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</si>
  <si>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</si>
  <si>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</si>
  <si>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</si>
  <si>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</si>
  <si>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</si>
  <si>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</si>
  <si>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</si>
  <si>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</si>
  <si>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</si>
  <si>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</si>
  <si>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</si>
  <si>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</si>
  <si>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</si>
  <si>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</si>
  <si>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</si>
  <si>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</si>
  <si>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</si>
  <si>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</si>
  <si>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</si>
  <si>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</si>
  <si>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</si>
  <si>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</si>
  <si>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</si>
  <si>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</si>
  <si>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</si>
  <si>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</si>
  <si>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</si>
  <si>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</si>
  <si>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</si>
  <si>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</si>
  <si>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</si>
  <si>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</si>
  <si>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</si>
  <si>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</si>
  <si>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</si>
  <si>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</si>
  <si>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</si>
  <si>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</si>
  <si>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</si>
  <si>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</si>
  <si>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</si>
  <si>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</si>
  <si>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</si>
  <si>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</si>
  <si>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</si>
  <si>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</si>
  <si>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</si>
  <si>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</si>
  <si>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</si>
  <si>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</si>
  <si>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</si>
  <si>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</si>
  <si>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</si>
  <si>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</si>
  <si>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</si>
  <si>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</si>
  <si>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</si>
  <si>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</si>
  <si>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</si>
  <si>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</si>
  <si>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</si>
  <si>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</si>
  <si>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</si>
  <si>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</si>
  <si>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</si>
  <si>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</si>
  <si>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</si>
  <si>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</si>
  <si>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</si>
  <si>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</si>
  <si>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</si>
  <si>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</si>
  <si>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</si>
  <si>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</si>
  <si>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</si>
  <si>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</si>
  <si>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</si>
  <si>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</si>
  <si>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</si>
  <si>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</si>
  <si>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</si>
  <si>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</si>
  <si>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</si>
  <si>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</si>
  <si>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</si>
  <si>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</si>
  <si>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</si>
  <si>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</si>
  <si>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</si>
  <si>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</si>
  <si>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</si>
  <si>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</si>
  <si>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</si>
  <si>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</si>
  <si>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</si>
  <si>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</si>
  <si>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</si>
  <si>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</si>
  <si>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</si>
  <si>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</si>
  <si>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</si>
  <si>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</si>
  <si>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</si>
  <si>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</si>
  <si>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</si>
  <si>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</si>
  <si>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</si>
  <si>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</si>
  <si>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</si>
  <si>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</si>
  <si>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</si>
  <si>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</si>
  <si>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</si>
  <si>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</si>
  <si>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</si>
  <si>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</si>
  <si>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</si>
  <si>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</si>
  <si>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</si>
  <si>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</si>
  <si>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</si>
  <si>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</si>
  <si>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</si>
  <si>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</si>
  <si>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</si>
  <si>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</si>
  <si>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</si>
  <si>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</si>
  <si>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</si>
  <si>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</si>
  <si>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</si>
  <si>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</si>
  <si>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</si>
  <si>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</si>
  <si>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</si>
  <si>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</si>
  <si>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</si>
  <si>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</si>
  <si>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</si>
  <si>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</si>
  <si>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</si>
  <si>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</si>
  <si>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</si>
  <si>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</si>
  <si>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</si>
  <si>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</si>
  <si>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</si>
  <si>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</si>
  <si>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</si>
  <si>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</si>
  <si>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</si>
  <si>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</si>
  <si>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</si>
  <si>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</si>
  <si>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</si>
  <si>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</si>
  <si>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</si>
  <si>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</si>
  <si>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</si>
  <si>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</si>
  <si>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</si>
  <si>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</si>
  <si>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</si>
  <si>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</si>
  <si>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</si>
  <si>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</si>
  <si>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</si>
  <si>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</si>
  <si>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</si>
  <si>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</si>
  <si>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</si>
  <si>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</si>
  <si>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</si>
  <si>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</si>
  <si>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</si>
  <si>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</si>
  <si>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</si>
  <si>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</si>
  <si>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</si>
  <si>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</si>
  <si>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</si>
  <si>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</si>
  <si>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</si>
  <si>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</si>
  <si>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</si>
  <si>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</si>
  <si>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</si>
  <si>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</si>
  <si>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</si>
  <si>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</si>
  <si>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</si>
  <si>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</si>
  <si>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</si>
  <si>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</si>
  <si>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</si>
  <si>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</si>
  <si>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</si>
  <si>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</si>
  <si>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</si>
  <si>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</si>
  <si>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</si>
  <si>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</si>
  <si>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</si>
  <si>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</si>
  <si>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</si>
  <si>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</si>
  <si>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</si>
  <si>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</si>
  <si>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</si>
  <si>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</si>
  <si>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</si>
  <si>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</si>
  <si>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</si>
  <si>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</si>
  <si>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</si>
  <si>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</si>
  <si>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</si>
  <si>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</si>
  <si>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</si>
  <si>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</si>
  <si>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</si>
  <si>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</si>
  <si>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</si>
  <si>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</si>
  <si>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</si>
  <si>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</si>
  <si>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</si>
  <si>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</si>
  <si>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</si>
  <si>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</si>
  <si>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</si>
  <si>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</si>
  <si>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</si>
  <si>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</si>
  <si>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</si>
  <si>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</si>
  <si>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</si>
  <si>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</si>
  <si>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</si>
  <si>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</si>
  <si>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</si>
  <si>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</si>
  <si>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</si>
  <si>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</si>
  <si>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</si>
  <si>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</si>
  <si>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</si>
  <si>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</si>
  <si>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</si>
  <si>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</si>
  <si>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</si>
  <si>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</si>
  <si>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</si>
  <si>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</si>
  <si>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</si>
  <si>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</si>
  <si>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</si>
  <si>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</si>
  <si>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</si>
  <si>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</si>
  <si>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</si>
  <si>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</si>
  <si>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</si>
  <si>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</si>
  <si>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</si>
  <si>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</si>
  <si>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</si>
  <si>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</si>
  <si>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</si>
  <si>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</si>
  <si>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</si>
  <si>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</si>
  <si>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</si>
  <si>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</si>
  <si>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</si>
  <si>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</si>
  <si>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</si>
  <si>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</si>
  <si>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</si>
  <si>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</si>
  <si>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</si>
  <si>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</si>
  <si>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</si>
  <si>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</si>
  <si>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</si>
  <si>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</si>
  <si>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</si>
  <si>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</si>
  <si>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</si>
  <si>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</si>
  <si>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</si>
  <si>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</si>
  <si>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</si>
  <si>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</si>
  <si>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</si>
  <si>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</si>
  <si>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</si>
  <si>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</si>
  <si>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</si>
  <si>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</si>
  <si>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</si>
  <si>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</si>
  <si>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</si>
  <si>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</si>
  <si>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</si>
  <si>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</si>
  <si>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</si>
  <si>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</si>
  <si>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</si>
  <si>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</si>
  <si>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</si>
  <si>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</si>
  <si>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</si>
  <si>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</si>
  <si>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</si>
  <si>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</si>
  <si>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</si>
  <si>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</si>
  <si>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</si>
  <si>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</si>
  <si>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</si>
  <si>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</si>
  <si>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</si>
  <si>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</si>
  <si>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</si>
  <si>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</si>
  <si>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</si>
  <si>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</si>
  <si>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</si>
  <si>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</si>
  <si>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</si>
  <si>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</si>
  <si>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</si>
  <si>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</si>
  <si>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</si>
  <si>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</si>
  <si>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</si>
  <si>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</si>
  <si>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</si>
  <si>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</si>
  <si>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</si>
  <si>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</si>
  <si>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</si>
  <si>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</si>
  <si>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</si>
  <si>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</si>
  <si>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</si>
  <si>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</si>
  <si>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</si>
  <si>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</si>
  <si>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</si>
  <si>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</si>
  <si>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</si>
  <si>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</si>
  <si>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</si>
  <si>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</si>
  <si>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</si>
  <si>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</si>
  <si>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</si>
  <si>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</si>
  <si>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</si>
  <si>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</si>
  <si>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</si>
  <si>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</si>
  <si>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</si>
  <si>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</si>
  <si>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</si>
  <si>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</si>
  <si>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</si>
  <si>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</si>
  <si>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</si>
  <si>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</si>
  <si>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</si>
  <si>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</si>
  <si>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</si>
  <si>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</si>
  <si>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</si>
  <si>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</si>
  <si>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</si>
  <si>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</si>
  <si>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</si>
  <si>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</si>
  <si>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</si>
  <si>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</si>
  <si>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</si>
  <si>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</si>
  <si>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</si>
  <si>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</si>
  <si>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</si>
  <si>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</si>
  <si>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</si>
  <si>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</si>
  <si>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</si>
  <si>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</si>
  <si>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</si>
  <si>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</si>
  <si>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</si>
  <si>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</si>
  <si>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</si>
  <si>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</si>
  <si>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</si>
  <si>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</si>
  <si>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</si>
  <si>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</si>
  <si>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</si>
  <si>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</si>
  <si>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</si>
  <si>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</si>
  <si>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</si>
  <si>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</si>
  <si>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</si>
  <si>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</si>
  <si>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</si>
  <si>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</si>
  <si>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</si>
  <si>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</si>
  <si>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</si>
  <si>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</si>
  <si>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</si>
  <si>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</si>
  <si>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</si>
  <si>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</si>
  <si>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</si>
  <si>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</si>
  <si>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</si>
  <si>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</si>
  <si>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</si>
  <si>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</si>
  <si>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</si>
  <si>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</si>
  <si>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</si>
  <si>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</si>
  <si>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</si>
  <si>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</si>
  <si>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</si>
  <si>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</si>
  <si>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</si>
  <si>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</si>
  <si>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</si>
  <si>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</si>
  <si>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</si>
  <si>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</si>
  <si>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</si>
  <si>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</si>
  <si>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</si>
  <si>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</si>
  <si>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</si>
  <si>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</si>
  <si>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</si>
  <si>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</si>
  <si>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</si>
  <si>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</si>
  <si>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</si>
  <si>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</si>
  <si>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</si>
  <si>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</si>
  <si>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</si>
  <si>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</si>
  <si>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</si>
  <si>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</si>
  <si>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</si>
  <si>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</si>
  <si>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</si>
  <si>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</si>
  <si>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</si>
  <si>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</si>
  <si>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</si>
  <si>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</si>
  <si>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</si>
  <si>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</si>
  <si>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</si>
  <si>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</si>
  <si>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</si>
  <si>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</si>
  <si>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</si>
  <si>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</si>
  <si>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</si>
  <si>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</si>
  <si>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</si>
  <si>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</si>
  <si>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</si>
  <si>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</si>
  <si>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</si>
  <si>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</si>
  <si>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</si>
  <si>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</si>
  <si>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</si>
  <si>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</si>
  <si>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</si>
  <si>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</si>
  <si>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</si>
  <si>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</si>
  <si>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</si>
  <si>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</si>
  <si>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</si>
  <si>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</si>
  <si>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</si>
  <si>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</si>
  <si>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</si>
  <si>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</si>
  <si>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</si>
  <si>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</si>
  <si>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</si>
  <si>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</si>
  <si>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</si>
  <si>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</si>
  <si>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</si>
  <si>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</si>
  <si>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</si>
  <si>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</si>
  <si>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</si>
  <si>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</si>
  <si>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</si>
  <si>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</si>
  <si>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</si>
  <si>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</si>
  <si>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</si>
  <si>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</si>
  <si>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</si>
  <si>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</si>
  <si>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</si>
  <si>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</si>
  <si>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</si>
  <si>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</si>
  <si>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</si>
  <si>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</si>
  <si>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</si>
  <si>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</si>
  <si>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</si>
  <si>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</si>
  <si>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</si>
  <si>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</si>
  <si>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</si>
  <si>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</si>
  <si>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</si>
  <si>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</si>
  <si>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</si>
  <si>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</si>
  <si>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</si>
  <si>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</si>
  <si>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</si>
  <si>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</si>
  <si>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</si>
  <si>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</si>
  <si>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</si>
  <si>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</si>
  <si>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</si>
  <si>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</si>
  <si>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</si>
  <si>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</si>
  <si>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</si>
  <si>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</si>
  <si>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</si>
  <si>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</si>
  <si>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</si>
  <si>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</si>
  <si>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</si>
  <si>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</si>
  <si>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</si>
  <si>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</si>
  <si>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</si>
  <si>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</si>
  <si>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</si>
  <si>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</si>
  <si>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</si>
  <si>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</si>
  <si>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</si>
  <si>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</si>
  <si>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</si>
  <si>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</si>
  <si>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</si>
  <si>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</si>
  <si>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</si>
  <si>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</si>
  <si>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</si>
  <si>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</si>
  <si>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</si>
  <si>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</si>
  <si>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</si>
  <si>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</si>
  <si>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</si>
  <si>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</si>
  <si>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</si>
  <si>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</si>
  <si>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</si>
  <si>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</si>
  <si>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</si>
  <si>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</si>
  <si>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</si>
  <si>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</si>
  <si>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</si>
  <si>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</si>
  <si>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</si>
  <si>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</si>
  <si>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</si>
  <si>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</si>
  <si>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</si>
  <si>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</si>
  <si>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</si>
  <si>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</si>
  <si>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</si>
  <si>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</si>
  <si>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</si>
  <si>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</si>
  <si>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</si>
  <si>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</si>
  <si>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</si>
  <si>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</si>
  <si>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</si>
  <si>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</si>
  <si>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</si>
  <si>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</si>
  <si>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</si>
  <si>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</si>
  <si>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</si>
  <si>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</si>
  <si>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</si>
  <si>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</si>
  <si>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</si>
  <si>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</si>
  <si>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</si>
  <si>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</si>
  <si>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</si>
  <si>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</si>
  <si>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</si>
  <si>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</si>
  <si>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</si>
  <si>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</si>
  <si>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</si>
  <si>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</si>
  <si>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</si>
  <si>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</si>
  <si>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</si>
  <si>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</si>
  <si>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</si>
  <si>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</si>
  <si>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</si>
  <si>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</si>
  <si>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</si>
  <si>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</si>
  <si>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</si>
  <si>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</si>
  <si>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</si>
  <si>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</si>
  <si>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</si>
  <si>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</si>
  <si>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</si>
  <si>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</si>
  <si>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</si>
  <si>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</si>
  <si>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</si>
  <si>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</si>
  <si>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</si>
  <si>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</si>
  <si>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</si>
  <si>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</si>
  <si>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</si>
  <si>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</si>
  <si>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</si>
  <si>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</si>
  <si>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</si>
  <si>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</si>
  <si>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</si>
  <si>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</si>
  <si>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</si>
  <si>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</si>
  <si>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</si>
  <si>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</si>
  <si>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</si>
  <si>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</si>
  <si>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</si>
  <si>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</si>
  <si>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</si>
  <si>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</si>
  <si>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</si>
  <si>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</si>
  <si>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</si>
  <si>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</si>
  <si>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</si>
  <si>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</si>
  <si>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</si>
  <si>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</si>
  <si>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</si>
  <si>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</si>
  <si>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</si>
  <si>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</si>
  <si>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</si>
  <si>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</si>
  <si>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</si>
  <si>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</si>
  <si>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</si>
  <si>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</si>
  <si>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</si>
  <si>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</si>
  <si>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</si>
  <si>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</si>
  <si>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</si>
  <si>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</si>
  <si>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</si>
  <si>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</si>
  <si>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</si>
  <si>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</si>
  <si>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</si>
  <si>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</si>
  <si>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</si>
  <si>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</si>
  <si>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</si>
  <si>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</si>
  <si>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</si>
  <si>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</si>
  <si>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</si>
  <si>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</si>
  <si>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</si>
  <si>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</si>
  <si>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</si>
  <si>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</si>
  <si>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</si>
  <si>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</si>
  <si>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</si>
  <si>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</si>
  <si>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</si>
  <si>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</si>
  <si>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</si>
  <si>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</si>
  <si>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</si>
  <si>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</si>
  <si>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</si>
  <si>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</si>
  <si>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</si>
  <si>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</si>
  <si>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</si>
  <si>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</si>
  <si>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</si>
  <si>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</si>
  <si>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</si>
  <si>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</si>
  <si>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</si>
  <si>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</si>
  <si>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</si>
  <si>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</si>
  <si>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</si>
  <si>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</si>
  <si>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</si>
  <si>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</si>
  <si>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</si>
  <si>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</si>
  <si>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</si>
  <si>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</si>
  <si>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</si>
  <si>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</si>
  <si>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</si>
  <si>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</si>
  <si>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</si>
  <si>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</si>
  <si>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</si>
  <si>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</si>
  <si>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</si>
  <si>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</si>
  <si>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</si>
  <si>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</si>
  <si>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</si>
  <si>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</si>
  <si>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</si>
  <si>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</si>
  <si>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</si>
  <si>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</si>
  <si>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</si>
  <si>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</si>
  <si>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</si>
  <si>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</si>
  <si>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</si>
  <si>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</si>
  <si>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</si>
  <si>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</si>
  <si>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</si>
  <si>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</si>
  <si>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</si>
  <si>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</si>
  <si>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</si>
  <si>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</si>
  <si>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</si>
  <si>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</si>
  <si>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</si>
  <si>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</si>
  <si>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</si>
  <si>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</si>
  <si>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</si>
  <si>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</si>
  <si>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</si>
  <si>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</si>
  <si>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</si>
  <si>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</si>
  <si>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</si>
  <si>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</si>
  <si>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</si>
  <si>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</si>
  <si>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</si>
  <si>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</si>
  <si>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</si>
  <si>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</si>
  <si>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</si>
  <si>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</si>
  <si>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</si>
  <si>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</si>
  <si>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</si>
  <si>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</si>
  <si>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</si>
  <si>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</si>
  <si>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</si>
  <si>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</si>
  <si>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</si>
  <si>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</si>
  <si>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</si>
  <si>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</si>
  <si>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</si>
  <si>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</si>
  <si>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</si>
  <si>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</si>
  <si>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</si>
  <si>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</si>
  <si>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</si>
  <si>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</si>
  <si>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</si>
  <si>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</si>
  <si>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</si>
  <si>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</si>
  <si>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</si>
  <si>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</si>
  <si>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</si>
  <si>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</si>
  <si>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</si>
  <si>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</si>
  <si>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</si>
  <si>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</si>
  <si>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</si>
  <si>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</si>
  <si>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</si>
  <si>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</si>
  <si>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</si>
  <si>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</si>
  <si>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</si>
  <si>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</si>
  <si>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</si>
  <si>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</si>
  <si>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</si>
  <si>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</si>
  <si>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</si>
  <si>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</si>
  <si>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</si>
  <si>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</si>
  <si>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</si>
  <si>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</si>
  <si>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</si>
  <si>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</si>
  <si>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</si>
  <si>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</si>
  <si>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</si>
  <si>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</si>
  <si>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</si>
  <si>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</si>
  <si>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</si>
  <si>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</si>
  <si>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</si>
  <si>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</si>
  <si>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</si>
  <si>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</si>
  <si>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</si>
  <si>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</si>
  <si>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</si>
  <si>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</si>
  <si>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</si>
  <si>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</si>
  <si>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</si>
  <si>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</si>
  <si>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</si>
  <si>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</si>
  <si>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</si>
  <si>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</si>
  <si>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</si>
  <si>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</si>
  <si>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</si>
  <si>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</si>
  <si>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</si>
  <si>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</si>
  <si>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</si>
  <si>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</si>
  <si>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</si>
  <si>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</si>
  <si>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</si>
  <si>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</si>
  <si>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</si>
  <si>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</si>
  <si>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</si>
  <si>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</si>
  <si>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</si>
  <si>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</si>
  <si>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</si>
  <si>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</si>
  <si>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</si>
  <si>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</si>
  <si>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</si>
  <si>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</si>
  <si>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</si>
  <si>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</si>
  <si>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</si>
  <si>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</si>
  <si>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</si>
  <si>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</si>
  <si>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</si>
  <si>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</si>
  <si>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</si>
  <si>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</si>
  <si>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</si>
  <si>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</si>
  <si>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</si>
  <si>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</si>
  <si>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</si>
  <si>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</si>
  <si>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</si>
  <si>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</si>
  <si>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</si>
  <si>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</si>
  <si>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</si>
  <si>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</si>
  <si>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</si>
  <si>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</si>
  <si>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</si>
  <si>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</si>
  <si>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</si>
  <si>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</si>
  <si>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</si>
  <si>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</si>
  <si>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</si>
  <si>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</si>
  <si>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</si>
  <si>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</si>
  <si>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</si>
  <si>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</si>
  <si>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</si>
  <si>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</si>
  <si>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</si>
  <si>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</si>
  <si>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</si>
  <si>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</si>
  <si>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</si>
  <si>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</si>
  <si>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</si>
  <si>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</si>
  <si>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</si>
  <si>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</si>
  <si>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</si>
  <si>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</si>
  <si>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</si>
  <si>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</si>
  <si>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</si>
  <si>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</si>
  <si>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</si>
  <si>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</si>
  <si>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</si>
  <si>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</si>
  <si>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</si>
  <si>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</si>
  <si>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</si>
  <si>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</si>
  <si>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</si>
  <si>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</si>
  <si>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</si>
  <si>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</si>
  <si>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</si>
  <si>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</si>
  <si>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</si>
  <si>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</si>
  <si>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</si>
  <si>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</si>
  <si>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</si>
  <si>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</si>
  <si>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</si>
  <si>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</si>
  <si>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</si>
  <si>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</si>
  <si>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</si>
  <si>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</si>
  <si>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</si>
  <si>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</si>
  <si>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</si>
  <si>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</si>
  <si>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</si>
  <si>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</si>
  <si>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</si>
  <si>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</si>
  <si>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</si>
  <si>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</si>
  <si>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</si>
  <si>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</si>
  <si>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</si>
  <si>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</si>
  <si>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</si>
  <si>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</si>
  <si>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</si>
  <si>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</si>
  <si>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</si>
  <si>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</si>
  <si>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</si>
  <si>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</si>
  <si>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</si>
  <si>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</si>
  <si>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</si>
  <si>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</si>
  <si>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</si>
  <si>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</si>
  <si>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</si>
  <si>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</si>
  <si>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</si>
  <si>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</si>
  <si>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</si>
  <si>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</si>
  <si>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</si>
  <si>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</si>
  <si>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</si>
  <si>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</si>
  <si>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</si>
  <si>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</si>
  <si>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</si>
  <si>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</si>
  <si>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</si>
  <si>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</si>
  <si>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</si>
  <si>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</si>
  <si>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</si>
  <si>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</si>
  <si>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</si>
  <si>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</si>
  <si>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</si>
  <si>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</si>
  <si>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</si>
  <si>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</si>
  <si>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</si>
  <si>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</si>
  <si>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</si>
  <si>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</si>
  <si>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</si>
  <si>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</si>
  <si>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</si>
  <si>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</si>
  <si>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</si>
  <si>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</si>
  <si>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</si>
  <si>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</si>
  <si>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</si>
  <si>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</si>
  <si>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</si>
  <si>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</si>
  <si>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</si>
  <si>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</si>
  <si>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</si>
  <si>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</si>
  <si>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</si>
  <si>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</si>
  <si>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</si>
  <si>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</si>
  <si>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</si>
  <si>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</si>
  <si>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</si>
  <si>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</si>
  <si>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</si>
  <si>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</si>
  <si>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</si>
  <si>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</si>
  <si>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</si>
  <si>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</si>
  <si>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</si>
  <si>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</si>
  <si>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</si>
  <si>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</si>
  <si>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</si>
  <si>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</si>
  <si>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</si>
  <si>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</si>
  <si>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</si>
  <si>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</si>
  <si>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</si>
  <si>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</si>
  <si>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</si>
  <si>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</si>
  <si>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</si>
  <si>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</si>
  <si>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</si>
  <si>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</si>
  <si>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</si>
  <si>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</si>
  <si>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</si>
  <si>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</si>
  <si>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</si>
  <si>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</si>
  <si>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</si>
  <si>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</si>
  <si>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</si>
  <si>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</si>
  <si>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</si>
  <si>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</si>
  <si>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</si>
  <si>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</si>
  <si>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</si>
  <si>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</si>
  <si>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</si>
  <si>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</si>
  <si>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</si>
  <si>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</si>
  <si>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</si>
  <si>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</si>
  <si>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</si>
  <si>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</si>
  <si>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</si>
  <si>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</si>
  <si>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</si>
  <si>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</si>
  <si>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</si>
  <si>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</si>
  <si>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</si>
  <si>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</si>
  <si>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</si>
  <si>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</si>
  <si>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</si>
  <si>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</si>
  <si>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</si>
  <si>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</si>
  <si>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</si>
  <si>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</si>
  <si>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</si>
  <si>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</si>
  <si>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</si>
  <si>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</si>
  <si>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</si>
  <si>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</si>
  <si>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</si>
  <si>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</si>
  <si>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</si>
  <si>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</si>
  <si>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</si>
  <si>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</si>
  <si>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</si>
  <si>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</si>
  <si>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</si>
  <si>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</si>
  <si>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</si>
  <si>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</si>
  <si>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</si>
  <si>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</si>
  <si>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</si>
  <si>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</si>
  <si>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</si>
  <si>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</si>
  <si>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</si>
  <si>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</si>
  <si>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</si>
  <si>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</si>
  <si>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</si>
  <si>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</si>
  <si>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</si>
  <si>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</si>
  <si>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</si>
  <si>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</si>
  <si>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</si>
  <si>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</si>
  <si>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</si>
  <si>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</si>
  <si>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</si>
  <si>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</si>
  <si>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</si>
  <si>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</si>
  <si>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</si>
  <si>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</si>
  <si>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</si>
  <si>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</si>
  <si>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</si>
  <si>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</si>
  <si>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</si>
  <si>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</si>
  <si>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</si>
  <si>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</si>
  <si>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</si>
  <si>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</si>
  <si>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</si>
  <si>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</si>
  <si>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</si>
  <si>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</si>
  <si>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</si>
  <si>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</si>
  <si>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</si>
  <si>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</si>
  <si>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</si>
  <si>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</si>
  <si>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</si>
  <si>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</si>
  <si>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</si>
  <si>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</si>
  <si>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</si>
  <si>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</si>
  <si>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</si>
  <si>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</si>
  <si>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</si>
  <si>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</si>
  <si>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</si>
  <si>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</si>
  <si>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</si>
  <si>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</si>
  <si>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</si>
  <si>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</si>
  <si>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</si>
  <si>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</si>
  <si>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</si>
  <si>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</si>
  <si>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</si>
  <si>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</si>
  <si>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</si>
  <si>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</si>
  <si>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</si>
  <si>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</si>
  <si>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</si>
  <si>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</si>
  <si>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</si>
  <si>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</si>
  <si>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</si>
  <si>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</si>
  <si>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</si>
  <si>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</si>
  <si>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</si>
  <si>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</si>
  <si>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</si>
  <si>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</si>
  <si>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</si>
  <si>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</si>
  <si>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</si>
  <si>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</si>
  <si>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</si>
  <si>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</si>
  <si>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</si>
  <si>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</si>
  <si>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</si>
  <si>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</si>
  <si>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</si>
  <si>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</si>
  <si>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</si>
  <si>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</si>
  <si>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</si>
  <si>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</si>
  <si>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</si>
  <si>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</si>
  <si>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</si>
  <si>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</si>
  <si>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</si>
  <si>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</si>
  <si>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</si>
  <si>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</si>
  <si>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</si>
  <si>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</si>
  <si>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</si>
  <si>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</si>
  <si>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</si>
  <si>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</si>
  <si>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</si>
  <si>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</si>
  <si>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</si>
  <si>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</si>
  <si>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</si>
  <si>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</si>
  <si>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</si>
  <si>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</si>
  <si>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</si>
  <si>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</si>
  <si>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</si>
  <si>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</si>
  <si>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</si>
  <si>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</si>
  <si>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</si>
  <si>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</si>
  <si>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</si>
  <si>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</si>
  <si>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</si>
  <si>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</si>
  <si>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</si>
  <si>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</si>
  <si>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</si>
  <si>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</si>
  <si>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</si>
  <si>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</si>
  <si>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</si>
  <si>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</si>
  <si>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</si>
  <si>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</si>
  <si>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</si>
  <si>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</si>
  <si>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</si>
  <si>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</si>
  <si>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</si>
  <si>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</si>
  <si>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</si>
  <si>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</si>
  <si>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</si>
  <si>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</si>
  <si>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</si>
  <si>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</si>
  <si>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</si>
  <si>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</si>
  <si>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</si>
  <si>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</si>
  <si>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</si>
  <si>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</si>
  <si>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</si>
  <si>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</si>
  <si>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</si>
  <si>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</si>
  <si>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</si>
  <si>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</si>
  <si>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</si>
  <si>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</si>
  <si>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</si>
  <si>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</si>
  <si>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</si>
  <si>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</si>
  <si>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</si>
  <si>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</si>
  <si>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</si>
  <si>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</si>
  <si>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</si>
  <si>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</si>
  <si>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</si>
  <si>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</si>
  <si>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</si>
  <si>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</si>
  <si>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</si>
  <si>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</si>
  <si>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</si>
  <si>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</si>
  <si>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</si>
  <si>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</si>
  <si>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</si>
  <si>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</si>
  <si>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</si>
  <si>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</si>
  <si>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</si>
  <si>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</si>
  <si>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</si>
  <si>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</si>
  <si>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</si>
  <si>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</si>
  <si>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</si>
  <si>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</si>
  <si>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</si>
  <si>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</si>
  <si>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</si>
  <si>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</si>
  <si>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</si>
  <si>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</si>
  <si>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</si>
  <si>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</si>
  <si>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</si>
  <si>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</si>
  <si>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</si>
  <si>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</si>
  <si>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</si>
  <si>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</si>
  <si>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</si>
  <si>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</si>
  <si>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</si>
  <si>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</si>
  <si>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</si>
  <si>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</si>
  <si>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</si>
  <si>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</si>
  <si>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</si>
  <si>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</si>
  <si>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</si>
  <si>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</si>
  <si>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</si>
  <si>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</si>
  <si>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</si>
  <si>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</si>
  <si>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</si>
  <si>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</si>
  <si>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</si>
  <si>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</si>
  <si>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</si>
  <si>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</si>
  <si>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</si>
  <si>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</si>
  <si>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</si>
  <si>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</si>
  <si>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</si>
  <si>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</si>
  <si>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</si>
  <si>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</si>
  <si>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</si>
  <si>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</si>
  <si>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</si>
  <si>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</si>
  <si>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</si>
  <si>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</si>
  <si>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</si>
  <si>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</si>
  <si>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</si>
  <si>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</si>
  <si>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</si>
  <si>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</si>
  <si>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</si>
  <si>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</si>
  <si>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</si>
  <si>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</si>
  <si>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</si>
  <si>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</si>
  <si>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</si>
  <si>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</si>
  <si>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</si>
  <si>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</si>
  <si>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</si>
  <si>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</si>
  <si>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</si>
  <si>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</si>
  <si>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</si>
  <si>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</si>
  <si>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</si>
  <si>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</si>
  <si>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</si>
  <si>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</si>
  <si>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</si>
  <si>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</si>
  <si>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</si>
  <si>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</si>
  <si>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</si>
  <si>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</si>
  <si>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</si>
  <si>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</si>
  <si>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</si>
  <si>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</si>
  <si>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</si>
  <si>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</si>
  <si>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</si>
  <si>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</si>
  <si>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</si>
  <si>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</si>
  <si>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</si>
  <si>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</si>
  <si>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</si>
  <si>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</si>
  <si>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</si>
  <si>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</si>
  <si>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</si>
  <si>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</si>
  <si>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</si>
  <si>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</si>
  <si>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</si>
  <si>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</si>
  <si>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</si>
  <si>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</si>
  <si>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</si>
  <si>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</si>
  <si>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</si>
  <si>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</si>
  <si>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</si>
  <si>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</si>
  <si>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</si>
  <si>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</si>
  <si>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</si>
  <si>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</si>
  <si>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</si>
  <si>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</si>
  <si>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</si>
  <si>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</si>
  <si>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</si>
  <si>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</si>
  <si>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</si>
  <si>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</si>
  <si>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</si>
  <si>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</si>
  <si>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</si>
  <si>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</si>
  <si>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</si>
  <si>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</si>
  <si>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</si>
  <si>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</si>
  <si>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</si>
  <si>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</si>
  <si>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</si>
  <si>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</si>
  <si>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</si>
  <si>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</si>
  <si>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</si>
  <si>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</si>
  <si>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</si>
  <si>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</si>
  <si>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</si>
  <si>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</si>
  <si>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</si>
  <si>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</si>
  <si>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</si>
  <si>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</si>
  <si>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</si>
  <si>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</si>
  <si>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</si>
  <si>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</si>
  <si>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</si>
  <si>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</si>
  <si>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</si>
  <si>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</si>
  <si>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</si>
  <si>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</si>
  <si>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</si>
  <si>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</si>
  <si>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</si>
  <si>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</si>
  <si>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</si>
  <si>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</si>
  <si>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</si>
  <si>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</si>
  <si>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</si>
  <si>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</si>
  <si>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</si>
  <si>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</si>
  <si>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</si>
  <si>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</si>
  <si>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</si>
  <si>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</si>
  <si>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</si>
  <si>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</si>
  <si>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</si>
  <si>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</si>
  <si>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</si>
  <si>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</si>
  <si>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</si>
  <si>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</si>
  <si>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</si>
  <si>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</si>
  <si>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</si>
  <si>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</si>
  <si>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</si>
  <si>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</si>
  <si>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</si>
  <si>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</si>
  <si>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</si>
  <si>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</si>
  <si>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</si>
  <si>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</si>
  <si>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</si>
  <si>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</si>
  <si>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</si>
  <si>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</si>
  <si>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</si>
  <si>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</si>
  <si>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</si>
  <si>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</si>
  <si>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</si>
  <si>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</si>
  <si>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</si>
  <si>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</si>
  <si>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</si>
  <si>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</si>
  <si>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</si>
  <si>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</si>
  <si>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</si>
  <si>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</si>
  <si>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</si>
  <si>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</si>
  <si>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</si>
  <si>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</si>
  <si>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</si>
  <si>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</si>
  <si>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</si>
  <si>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</si>
  <si>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</si>
  <si>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</si>
  <si>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</si>
  <si>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</si>
  <si>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</si>
  <si>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</si>
  <si>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</si>
  <si>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</si>
  <si>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</si>
  <si>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</si>
  <si>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</si>
  <si>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</si>
  <si>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</si>
  <si>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</si>
  <si>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</si>
  <si>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</si>
  <si>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</si>
  <si>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</si>
  <si>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</si>
  <si>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</si>
  <si>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</si>
  <si>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</si>
  <si>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</si>
  <si>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</si>
  <si>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</si>
  <si>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</si>
  <si>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</si>
  <si>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</si>
  <si>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</si>
  <si>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</si>
  <si>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</si>
  <si>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</si>
  <si>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</si>
  <si>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</si>
  <si>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</si>
  <si>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</si>
  <si>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</si>
  <si>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</si>
  <si>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</si>
  <si>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</si>
  <si>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</si>
  <si>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</si>
  <si>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</si>
  <si>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</si>
  <si>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</si>
  <si>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</si>
  <si>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</si>
  <si>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</si>
  <si>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</si>
  <si>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</si>
  <si>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</si>
  <si>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</si>
  <si>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</si>
  <si>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</si>
  <si>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</si>
  <si>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</si>
  <si>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</si>
  <si>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</si>
  <si>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</si>
  <si>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</si>
  <si>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</si>
  <si>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</si>
  <si>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</si>
  <si>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</si>
  <si>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</si>
  <si>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</si>
  <si>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</si>
  <si>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</si>
  <si>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</si>
  <si>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</si>
  <si>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</si>
  <si>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</si>
  <si>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</si>
  <si>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</si>
  <si>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</si>
  <si>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</si>
  <si>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</si>
  <si>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</si>
  <si>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</si>
  <si>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</si>
  <si>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</si>
  <si>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</si>
  <si>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</si>
  <si>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</si>
  <si>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</si>
  <si>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</si>
  <si>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</si>
  <si>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</si>
  <si>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</si>
  <si>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</si>
  <si>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</si>
  <si>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</si>
  <si>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</si>
  <si>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</si>
  <si>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</si>
  <si>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</si>
  <si>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</si>
  <si>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</si>
  <si>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</si>
  <si>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</si>
  <si>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</si>
  <si>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</si>
  <si>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</si>
  <si>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</si>
  <si>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</si>
  <si>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</si>
  <si>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</si>
  <si>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</si>
  <si>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</si>
  <si>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</si>
  <si>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</si>
  <si>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</si>
  <si>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</si>
  <si>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</si>
  <si>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</si>
  <si>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</si>
  <si>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</si>
  <si>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</si>
  <si>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</si>
  <si>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</si>
  <si>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</si>
  <si>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</si>
  <si>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</si>
  <si>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</si>
  <si>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</si>
  <si>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</si>
  <si>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</si>
  <si>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</si>
  <si>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</si>
  <si>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</si>
  <si>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</si>
  <si>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</si>
  <si>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</si>
  <si>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</si>
  <si>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</si>
  <si>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</si>
  <si>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</si>
  <si>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</si>
  <si>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</si>
  <si>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</si>
  <si>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</si>
  <si>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</si>
  <si>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</si>
  <si>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</si>
  <si>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</si>
  <si>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</si>
  <si>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</si>
  <si>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</si>
  <si>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</si>
  <si>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</si>
  <si>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</si>
  <si>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</si>
  <si>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</si>
  <si>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</si>
  <si>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</si>
  <si>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</si>
  <si>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</si>
  <si>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</si>
  <si>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</si>
  <si>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</si>
  <si>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</si>
  <si>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</si>
  <si>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</si>
  <si>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</si>
  <si>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</si>
  <si>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</si>
  <si>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</si>
  <si>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</si>
  <si>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</si>
  <si>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</si>
  <si>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</si>
  <si>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</si>
  <si>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</si>
  <si>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</si>
  <si>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</si>
  <si>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</si>
  <si>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</si>
  <si>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</si>
  <si>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</si>
  <si>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</si>
  <si>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</si>
  <si>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</si>
  <si>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</si>
  <si>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</si>
  <si>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</si>
  <si>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</si>
  <si>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</si>
  <si>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</si>
  <si>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</si>
  <si>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</si>
  <si>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</si>
  <si>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</si>
  <si>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</si>
  <si>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</si>
  <si>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</si>
  <si>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</si>
  <si>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</si>
  <si>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</si>
  <si>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</si>
  <si>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</si>
  <si>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</si>
  <si>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</si>
  <si>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</si>
  <si>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</si>
  <si>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</si>
  <si>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</si>
  <si>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</si>
  <si>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</si>
  <si>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</si>
  <si>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</si>
  <si>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</si>
  <si>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</si>
  <si>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</si>
  <si>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</si>
  <si>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</si>
  <si>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</si>
  <si>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</si>
  <si>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</si>
  <si>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</si>
  <si>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</si>
  <si>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</si>
  <si>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</si>
  <si>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</si>
  <si>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</si>
  <si>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</si>
  <si>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</si>
  <si>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</si>
  <si>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</si>
  <si>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</si>
  <si>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</si>
  <si>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</si>
  <si>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</si>
  <si>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</si>
  <si>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</si>
  <si>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</si>
  <si>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</si>
  <si>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</si>
  <si>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</si>
  <si>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</si>
  <si>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</si>
  <si>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</si>
  <si>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</si>
  <si>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</si>
  <si>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</si>
  <si>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</si>
  <si>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</si>
  <si>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</si>
  <si>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</si>
  <si>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</si>
  <si>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</si>
  <si>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</si>
  <si>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</si>
  <si>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</si>
  <si>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</si>
  <si>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</si>
  <si>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</si>
  <si>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</si>
  <si>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</si>
  <si>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</si>
  <si>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</si>
  <si>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</si>
  <si>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</si>
  <si>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</si>
  <si>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</si>
  <si>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</si>
  <si>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</si>
  <si>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</si>
  <si>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</si>
  <si>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</si>
  <si>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</si>
  <si>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</si>
  <si>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</si>
  <si>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</si>
  <si>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</si>
  <si>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</si>
  <si>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</si>
  <si>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</si>
  <si>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</si>
  <si>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</si>
  <si>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</si>
  <si>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</si>
  <si>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</si>
  <si>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</si>
  <si>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</si>
  <si>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</si>
  <si>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</si>
  <si>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</si>
  <si>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</si>
  <si>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</si>
  <si>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</si>
  <si>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</si>
  <si>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</si>
  <si>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</si>
  <si>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</si>
  <si>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</si>
  <si>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</si>
  <si>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</si>
  <si>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</si>
  <si>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</si>
  <si>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</si>
  <si>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</si>
  <si>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</si>
  <si>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</si>
  <si>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</si>
  <si>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</si>
  <si>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</si>
  <si>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</si>
  <si>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</si>
  <si>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</si>
  <si>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</si>
  <si>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</si>
  <si>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</si>
  <si>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</si>
  <si>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</si>
  <si>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</si>
  <si>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</si>
  <si>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</si>
  <si>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</si>
  <si>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</si>
  <si>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</si>
  <si>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</si>
  <si>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</si>
  <si>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</si>
  <si>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</si>
  <si>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</si>
  <si>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</si>
  <si>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</si>
  <si>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</si>
  <si>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</si>
  <si>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</si>
  <si>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</si>
  <si>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</si>
  <si>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</si>
  <si>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</si>
  <si>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</si>
  <si>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</si>
  <si>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</si>
  <si>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</si>
  <si>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</si>
  <si>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</si>
  <si>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</si>
  <si>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</si>
  <si>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</si>
  <si>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</si>
  <si>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</si>
  <si>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</si>
  <si>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</si>
  <si>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</si>
  <si>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</si>
  <si>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</si>
  <si>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</si>
  <si>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</si>
  <si>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</si>
  <si>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</si>
  <si>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</si>
  <si>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</si>
  <si>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</si>
  <si>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</si>
  <si>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</si>
  <si>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</si>
  <si>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</si>
  <si>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</si>
  <si>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</si>
  <si>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</si>
  <si>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</si>
  <si>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</si>
  <si>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</si>
  <si>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</si>
  <si>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</si>
  <si>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</si>
  <si>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</si>
  <si>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</si>
  <si>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</si>
  <si>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</si>
  <si>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</si>
  <si>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</si>
  <si>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</si>
  <si>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</si>
  <si>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</si>
  <si>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</si>
  <si>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</si>
  <si>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</si>
  <si>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</si>
  <si>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</si>
  <si>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</si>
  <si>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</si>
  <si>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</si>
  <si>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</si>
  <si>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</si>
  <si>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</si>
  <si>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</si>
  <si>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</si>
  <si>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</si>
  <si>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</si>
  <si>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</si>
  <si>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</si>
  <si>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</si>
  <si>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</si>
  <si>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</si>
  <si>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</si>
  <si>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</si>
  <si>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</si>
  <si>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</si>
  <si>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</si>
  <si>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</si>
  <si>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</si>
  <si>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</si>
  <si>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</si>
  <si>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</si>
  <si>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</si>
  <si>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</si>
  <si>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</si>
  <si>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</si>
  <si>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</si>
  <si>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</si>
  <si>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</si>
  <si>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</si>
  <si>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</si>
  <si>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</si>
  <si>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</si>
  <si>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</si>
  <si>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</si>
  <si>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</si>
  <si>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</si>
  <si>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</si>
  <si>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</si>
  <si>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</si>
  <si>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</si>
  <si>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</si>
  <si>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</si>
  <si>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</si>
  <si>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</si>
  <si>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</si>
  <si>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</si>
  <si>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</si>
  <si>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</si>
  <si>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</si>
  <si>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</si>
  <si>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</si>
  <si>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</si>
  <si>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</si>
  <si>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</si>
  <si>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</si>
  <si>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</si>
  <si>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</si>
  <si>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</si>
  <si>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</si>
  <si>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</si>
  <si>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</si>
  <si>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</si>
  <si>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</si>
  <si>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</si>
  <si>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</si>
  <si>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</si>
  <si>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</si>
  <si>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</si>
  <si>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</si>
  <si>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</si>
  <si>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</si>
  <si>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</si>
  <si>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</si>
  <si>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</si>
  <si>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</si>
  <si>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</si>
  <si>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</si>
  <si>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</si>
  <si>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</si>
  <si>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</si>
  <si>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</si>
  <si>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</si>
  <si>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</si>
  <si>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</si>
  <si>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</si>
  <si>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</si>
  <si>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</si>
  <si>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</si>
  <si>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</si>
  <si>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</si>
  <si>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</si>
  <si>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</si>
  <si>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</si>
  <si>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</si>
  <si>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</si>
  <si>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</si>
  <si>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</si>
  <si>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</si>
  <si>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</si>
  <si>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</si>
  <si>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</si>
  <si>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</si>
  <si>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</si>
  <si>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</si>
  <si>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</si>
  <si>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</si>
  <si>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</si>
  <si>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</si>
  <si>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</si>
  <si>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</si>
  <si>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</si>
  <si>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</si>
  <si>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</si>
  <si>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</si>
  <si>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</si>
  <si>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</si>
  <si>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</si>
  <si>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</si>
  <si>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</si>
  <si>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</si>
  <si>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</si>
  <si>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</si>
  <si>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</si>
  <si>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</si>
  <si>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</si>
  <si>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</si>
  <si>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</si>
  <si>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</si>
  <si>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</si>
  <si>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</si>
  <si>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</si>
  <si>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</si>
  <si>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</si>
  <si>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</si>
  <si>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</si>
  <si>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</si>
  <si>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</si>
  <si>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</si>
  <si>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</si>
  <si>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</si>
  <si>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</si>
  <si>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</si>
  <si>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</si>
  <si>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</si>
  <si>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</si>
  <si>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</si>
  <si>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</si>
  <si>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</si>
  <si>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</si>
  <si>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</si>
  <si>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</si>
  <si>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</si>
  <si>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</si>
  <si>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</si>
  <si>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</si>
  <si>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</si>
  <si>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</si>
  <si>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</si>
  <si>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</si>
  <si>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</si>
  <si>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</si>
  <si>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</si>
  <si>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</si>
  <si>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</si>
  <si>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</si>
  <si>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</si>
  <si>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</si>
  <si>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</si>
  <si>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</si>
  <si>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</si>
  <si>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</si>
  <si>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</si>
  <si>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</si>
  <si>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</si>
  <si>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</si>
  <si>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</si>
  <si>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</si>
  <si>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</si>
  <si>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</si>
  <si>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</si>
  <si>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</si>
  <si>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</si>
  <si>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</si>
  <si>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</si>
  <si>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</si>
  <si>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</si>
  <si>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</si>
  <si>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</si>
  <si>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</si>
  <si>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</si>
  <si>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</si>
  <si>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</si>
  <si>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</si>
  <si>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</si>
  <si>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</si>
  <si>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</si>
  <si>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</si>
  <si>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</si>
  <si>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</si>
  <si>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</si>
  <si>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</si>
  <si>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</si>
  <si>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</si>
  <si>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</si>
  <si>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</si>
  <si>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</si>
  <si>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</si>
  <si>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</si>
  <si>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</si>
  <si>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</si>
  <si>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</si>
  <si>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</si>
  <si>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</si>
  <si>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</si>
  <si>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</si>
  <si>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</si>
  <si>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</si>
  <si>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</si>
  <si>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</si>
  <si>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</si>
  <si>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</si>
  <si>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</si>
  <si>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</si>
  <si>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</si>
  <si>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</si>
  <si>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</si>
  <si>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</si>
  <si>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</si>
  <si>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</si>
  <si>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</si>
  <si>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</si>
  <si>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</si>
  <si>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</si>
  <si>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</si>
  <si>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</si>
  <si>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</si>
  <si>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</si>
  <si>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</si>
  <si>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</si>
  <si>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</si>
  <si>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</si>
  <si>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</si>
  <si>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</si>
  <si>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</si>
  <si>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</si>
  <si>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</si>
  <si>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</si>
  <si>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</si>
  <si>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</si>
  <si>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</si>
  <si>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</si>
  <si>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</si>
  <si>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</si>
  <si>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</si>
  <si>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</si>
  <si>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</si>
  <si>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</si>
  <si>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</si>
  <si>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</si>
  <si>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</si>
  <si>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</si>
  <si>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</si>
  <si>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</si>
  <si>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</si>
  <si>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</si>
  <si>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</si>
  <si>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</si>
  <si>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</si>
  <si>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</si>
  <si>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</si>
  <si>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</si>
  <si>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</si>
  <si>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</si>
  <si>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</si>
  <si>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</si>
  <si>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</si>
  <si>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</si>
  <si>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</si>
  <si>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</si>
  <si>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</si>
  <si>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</si>
  <si>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</si>
  <si>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</si>
  <si>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</si>
  <si>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</si>
  <si>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</si>
  <si>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</si>
  <si>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</si>
  <si>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</si>
  <si>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</si>
  <si>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</si>
  <si>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</si>
  <si>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</si>
  <si>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</si>
  <si>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</si>
  <si>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</si>
  <si>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</si>
  <si>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</si>
  <si>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</si>
  <si>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</si>
  <si>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</si>
  <si>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</si>
  <si>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</si>
  <si>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</si>
  <si>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</si>
  <si>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</si>
  <si>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</si>
  <si>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</si>
  <si>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</si>
  <si>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</si>
  <si>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</si>
  <si>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</si>
  <si>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</si>
  <si>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</si>
  <si>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</si>
  <si>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</si>
  <si>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</si>
  <si>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</si>
  <si>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</si>
  <si>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</si>
  <si>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</si>
  <si>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</si>
  <si>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</si>
  <si>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</si>
  <si>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</si>
  <si>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</si>
  <si>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</si>
  <si>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</si>
  <si>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</si>
  <si>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</si>
  <si>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</si>
  <si>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</si>
  <si>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</si>
  <si>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</si>
  <si>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</si>
  <si>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</si>
  <si>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</si>
  <si>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</si>
  <si>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</si>
  <si>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</si>
  <si>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</si>
  <si>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</si>
  <si>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</si>
  <si>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</si>
  <si>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</si>
  <si>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</si>
  <si>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</si>
  <si>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</si>
  <si>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</si>
  <si>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</si>
  <si>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</si>
  <si>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</si>
  <si>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</si>
  <si>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</si>
  <si>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</si>
  <si>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</si>
  <si>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</si>
  <si>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</si>
  <si>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</si>
  <si>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</si>
  <si>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</si>
  <si>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</si>
  <si>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</si>
  <si>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</si>
  <si>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</si>
  <si>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</si>
  <si>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</si>
  <si>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</si>
  <si>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</si>
  <si>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</si>
  <si>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</si>
  <si>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</si>
  <si>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</si>
  <si>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</si>
  <si>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</si>
  <si>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</si>
  <si>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</si>
  <si>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</si>
  <si>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</si>
  <si>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</si>
  <si>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</si>
  <si>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</si>
  <si>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</si>
  <si>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</si>
  <si>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</si>
  <si>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</si>
  <si>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</si>
  <si>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</si>
  <si>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</si>
  <si>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</si>
  <si>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</si>
  <si>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</si>
  <si>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</si>
  <si>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</si>
  <si>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</si>
  <si>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</si>
  <si>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</si>
  <si>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</si>
  <si>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</si>
  <si>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</si>
  <si>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</si>
  <si>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</si>
  <si>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</si>
  <si>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</si>
  <si>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</si>
  <si>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</si>
  <si>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</si>
  <si>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</si>
  <si>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</si>
  <si>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</si>
  <si>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</si>
  <si>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</si>
  <si>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</si>
  <si>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</si>
  <si>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</si>
  <si>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</si>
  <si>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</si>
  <si>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</si>
  <si>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</si>
  <si>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</si>
  <si>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</si>
  <si>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</si>
  <si>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</si>
  <si>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</si>
  <si>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</si>
  <si>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</si>
  <si>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</si>
  <si>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</si>
  <si>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</si>
  <si>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</si>
  <si>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</si>
  <si>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</si>
  <si>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</si>
  <si>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</si>
  <si>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</si>
  <si>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</si>
  <si>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</si>
  <si>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</si>
  <si>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</si>
  <si>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</si>
  <si>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</si>
  <si>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</si>
  <si>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</si>
  <si>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</si>
  <si>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</si>
  <si>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</si>
  <si>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</si>
  <si>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</si>
  <si>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</si>
  <si>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</si>
  <si>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</si>
  <si>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</si>
  <si>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</si>
  <si>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</si>
  <si>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</si>
  <si>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</si>
  <si>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</si>
  <si>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</si>
  <si>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</si>
  <si>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</si>
  <si>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</si>
  <si>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</si>
  <si>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</si>
  <si>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</si>
  <si>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</si>
  <si>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</si>
  <si>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</si>
  <si>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</si>
  <si>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</si>
  <si>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</si>
  <si>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</si>
  <si>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</si>
  <si>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</si>
  <si>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</si>
  <si>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</si>
  <si>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</si>
  <si>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</si>
  <si>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</si>
  <si>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</si>
  <si>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</si>
  <si>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</si>
  <si>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</si>
  <si>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</si>
  <si>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</si>
  <si>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</si>
  <si>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</si>
  <si>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</si>
  <si>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</si>
  <si>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</si>
  <si>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</si>
  <si>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</si>
  <si>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</si>
  <si>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</si>
  <si>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</si>
  <si>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</si>
  <si>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</si>
  <si>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</si>
  <si>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</si>
  <si>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</si>
  <si>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</si>
  <si>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</si>
  <si>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</si>
  <si>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</si>
  <si>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</si>
  <si>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</si>
  <si>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</si>
  <si>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</si>
  <si>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</si>
  <si>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</si>
  <si>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</si>
  <si>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</si>
  <si>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</si>
  <si>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</si>
  <si>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</si>
  <si>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</si>
  <si>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</si>
  <si>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</si>
  <si>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</si>
  <si>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</si>
  <si>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</si>
  <si>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</si>
  <si>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</si>
  <si>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</si>
  <si>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</si>
  <si>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</si>
  <si>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</si>
  <si>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</si>
  <si>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</si>
  <si>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</si>
  <si>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</si>
  <si>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</si>
  <si>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</si>
  <si>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</si>
  <si>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</si>
  <si>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</si>
  <si>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</si>
  <si>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</si>
  <si>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</si>
  <si>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</si>
  <si>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</si>
  <si>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</si>
  <si>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</si>
  <si>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</si>
  <si>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</si>
  <si>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</si>
  <si>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</si>
  <si>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</si>
  <si>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</si>
  <si>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</si>
  <si>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</si>
  <si>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</si>
  <si>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</si>
  <si>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</si>
  <si>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</si>
  <si>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</si>
  <si>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</si>
  <si>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</si>
  <si>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</si>
  <si>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</si>
  <si>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</si>
  <si>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</si>
  <si>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</si>
  <si>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</si>
  <si>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</si>
  <si>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</si>
  <si>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</si>
  <si>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</si>
  <si>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</si>
  <si>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</si>
  <si>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</si>
  <si>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</si>
  <si>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</si>
  <si>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</si>
  <si>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</si>
  <si>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</si>
  <si>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</si>
  <si>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</si>
  <si>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</si>
  <si>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</si>
  <si>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</si>
  <si>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</si>
  <si>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</si>
  <si>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</si>
  <si>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</si>
  <si>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</si>
  <si>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</si>
  <si>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</si>
  <si>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</si>
  <si>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</si>
  <si>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</si>
  <si>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</si>
  <si>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</si>
  <si>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</si>
  <si>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</si>
  <si>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</si>
  <si>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</si>
  <si>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</si>
  <si>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</si>
  <si>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</si>
  <si>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</si>
  <si>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</si>
  <si>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</si>
  <si>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</si>
  <si>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</si>
  <si>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</si>
  <si>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</si>
  <si>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</si>
  <si>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</si>
  <si>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</si>
  <si>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</si>
  <si>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</si>
  <si>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</si>
  <si>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</si>
  <si>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</si>
  <si>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</si>
  <si>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</si>
  <si>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</si>
  <si>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</si>
  <si>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</si>
  <si>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</si>
  <si>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</si>
  <si>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</si>
  <si>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</si>
  <si>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</si>
  <si>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</si>
  <si>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</si>
  <si>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</si>
  <si>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</si>
  <si>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</si>
  <si>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</si>
  <si>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</si>
  <si>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</si>
  <si>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</si>
  <si>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</si>
  <si>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</si>
  <si>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</si>
  <si>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</si>
  <si>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</si>
  <si>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</si>
  <si>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</si>
  <si>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</si>
  <si>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</si>
  <si>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</si>
  <si>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</si>
  <si>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</si>
  <si>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</si>
  <si>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</si>
  <si>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</si>
  <si>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</si>
  <si>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</si>
  <si>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</si>
  <si>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</si>
  <si>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</si>
  <si>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</si>
  <si>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</si>
  <si>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</si>
  <si>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</si>
  <si>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</si>
  <si>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</si>
  <si>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</si>
  <si>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</si>
  <si>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</si>
  <si>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</si>
  <si>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</si>
  <si>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</si>
  <si>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</si>
  <si>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</si>
  <si>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</si>
  <si>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</si>
  <si>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</si>
  <si>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</si>
  <si>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</si>
  <si>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</si>
  <si>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</si>
  <si>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</si>
  <si>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</si>
  <si>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</si>
  <si>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</si>
  <si>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</si>
  <si>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</si>
  <si>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</si>
  <si>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</si>
  <si>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</si>
  <si>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</si>
  <si>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</si>
  <si>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</si>
  <si>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</si>
  <si>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</si>
  <si>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</si>
  <si>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</si>
  <si>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</si>
  <si>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</si>
  <si>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</si>
  <si>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</si>
  <si>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</si>
  <si>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</si>
  <si>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</si>
  <si>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</si>
  <si>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</si>
  <si>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</si>
  <si>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</si>
  <si>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</si>
  <si>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</si>
  <si>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</si>
  <si>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</si>
  <si>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</si>
  <si>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</si>
  <si>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</si>
  <si>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</si>
  <si>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</si>
  <si>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</si>
  <si>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</si>
  <si>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</si>
  <si>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</si>
  <si>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</si>
  <si>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</si>
  <si>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</si>
  <si>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</si>
  <si>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</si>
  <si>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</si>
  <si>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</si>
  <si>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</si>
  <si>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</si>
  <si>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</si>
  <si>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</si>
  <si>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</si>
  <si>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</si>
  <si>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</si>
  <si>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</si>
  <si>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</si>
  <si>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</si>
  <si>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</si>
  <si>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</si>
  <si>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</si>
  <si>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</si>
  <si>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</si>
  <si>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</si>
  <si>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</si>
  <si>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</si>
  <si>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</si>
  <si>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</si>
  <si>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</si>
  <si>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</si>
  <si>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</si>
  <si>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</si>
  <si>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</si>
  <si>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</si>
  <si>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</si>
  <si>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</si>
  <si>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</si>
  <si>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</si>
  <si>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</si>
  <si>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</si>
  <si>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</si>
  <si>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</si>
  <si>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</si>
  <si>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</si>
  <si>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</si>
  <si>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</si>
  <si>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</si>
  <si>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</si>
  <si>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</si>
  <si>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</si>
  <si>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</si>
  <si>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</si>
  <si>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</si>
  <si>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</si>
  <si>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</si>
  <si>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</si>
  <si>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</si>
  <si>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</si>
  <si>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</si>
  <si>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</si>
  <si>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</si>
  <si>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</si>
  <si>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</si>
  <si>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</si>
  <si>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</si>
  <si>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</si>
  <si>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</si>
  <si>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</si>
  <si>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</si>
  <si>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</si>
  <si>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</si>
  <si>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</si>
  <si>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</si>
  <si>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</si>
  <si>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</si>
  <si>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</si>
  <si>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</si>
  <si>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</si>
  <si>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</si>
  <si>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</si>
  <si>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</si>
  <si>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</si>
  <si>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</si>
  <si>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</si>
  <si>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</si>
  <si>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</si>
  <si>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</si>
  <si>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</si>
  <si>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</si>
  <si>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</si>
  <si>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</si>
  <si>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</si>
  <si>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</si>
  <si>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</si>
  <si>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</si>
  <si>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</si>
  <si>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</si>
  <si>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</si>
  <si>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</si>
  <si>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</si>
  <si>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</si>
  <si>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</si>
  <si>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</si>
  <si>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</si>
  <si>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</si>
  <si>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</si>
  <si>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</si>
  <si>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</si>
  <si>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</si>
  <si>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</si>
  <si>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</si>
  <si>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</si>
  <si>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</si>
  <si>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</si>
  <si>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</si>
  <si>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</si>
  <si>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</si>
  <si>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</si>
  <si>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</si>
  <si>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</si>
  <si>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</si>
  <si>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</si>
  <si>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</si>
  <si>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</si>
  <si>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</si>
  <si>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</si>
  <si>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</si>
  <si>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</si>
  <si>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</si>
  <si>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</si>
  <si>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</si>
  <si>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</si>
  <si>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</si>
  <si>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</si>
  <si>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</si>
  <si>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</si>
  <si>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</si>
  <si>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</si>
  <si>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</si>
  <si>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</si>
  <si>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</si>
  <si>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</si>
  <si>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</si>
  <si>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</si>
  <si>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</si>
  <si>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</si>
  <si>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</si>
  <si>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</si>
  <si>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</si>
  <si>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</si>
  <si>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</si>
  <si>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</si>
  <si>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</si>
  <si>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</si>
  <si>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</si>
  <si>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</si>
  <si>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</si>
  <si>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</si>
  <si>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</si>
  <si>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</si>
  <si>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</si>
  <si>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</si>
  <si>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</si>
  <si>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</si>
  <si>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</si>
  <si>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</si>
  <si>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</si>
  <si>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</si>
  <si>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</si>
  <si>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</si>
  <si>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</si>
  <si>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</si>
  <si>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</si>
  <si>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</si>
  <si>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</si>
  <si>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</si>
  <si>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</si>
  <si>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</si>
  <si>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</si>
  <si>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</si>
  <si>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</si>
  <si>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</si>
  <si>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</si>
  <si>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</si>
  <si>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</si>
  <si>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</si>
  <si>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</si>
  <si>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</si>
  <si>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</si>
  <si>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</si>
  <si>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</si>
  <si>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</si>
  <si>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</si>
  <si>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</si>
  <si>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</si>
  <si>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</si>
  <si>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</si>
  <si>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</si>
  <si>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</si>
  <si>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</si>
  <si>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</si>
  <si>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</si>
  <si>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</si>
  <si>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</si>
  <si>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</si>
  <si>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</si>
  <si>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</si>
  <si>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</si>
  <si>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</si>
  <si>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</si>
  <si>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</si>
  <si>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</si>
  <si>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</si>
  <si>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</si>
  <si>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</si>
  <si>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</si>
  <si>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</si>
  <si>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</si>
  <si>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</si>
  <si>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</si>
  <si>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</si>
  <si>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</si>
  <si>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</si>
  <si>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</si>
  <si>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</si>
  <si>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</si>
  <si>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</si>
  <si>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</si>
  <si>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</si>
  <si>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</si>
  <si>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</si>
  <si>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</si>
  <si>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</si>
  <si>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</si>
  <si>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</si>
  <si>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</si>
  <si>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</si>
  <si>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</si>
  <si>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</si>
  <si>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</si>
  <si>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</si>
  <si>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</si>
  <si>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</si>
  <si>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</si>
  <si>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</si>
  <si>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</si>
  <si>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</si>
  <si>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</si>
  <si>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</si>
  <si>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</si>
  <si>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</si>
  <si>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</si>
  <si>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</si>
  <si>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</si>
  <si>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</si>
  <si>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</si>
  <si>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</si>
  <si>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</si>
  <si>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</si>
  <si>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</si>
  <si>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</si>
  <si>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</si>
  <si>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</si>
  <si>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</si>
  <si>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</si>
  <si>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</si>
  <si>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</si>
  <si>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</si>
  <si>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</si>
  <si>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</si>
  <si>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</si>
  <si>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</si>
  <si>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</si>
  <si>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</si>
  <si>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</si>
  <si>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</si>
  <si>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</si>
  <si>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</si>
  <si>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</si>
  <si>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</si>
  <si>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</si>
  <si>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</si>
  <si>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</si>
  <si>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</si>
  <si>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</si>
  <si>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</si>
  <si>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</si>
  <si>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</si>
  <si>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</si>
  <si>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</si>
  <si>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</si>
  <si>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</si>
  <si>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</si>
  <si>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</si>
  <si>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</si>
  <si>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</si>
  <si>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</si>
  <si>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</si>
  <si>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</si>
  <si>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</si>
  <si>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</si>
  <si>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</si>
  <si>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</si>
  <si>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</si>
  <si>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</si>
  <si>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</si>
  <si>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</si>
  <si>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</si>
  <si>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</si>
  <si>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</si>
  <si>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</si>
  <si>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</si>
  <si>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</si>
  <si>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</si>
  <si>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</si>
  <si>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</si>
  <si>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</si>
  <si>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</si>
  <si>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</si>
  <si>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</si>
  <si>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</si>
  <si>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</si>
  <si>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</si>
  <si>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</si>
  <si>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</si>
  <si>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</si>
  <si>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</si>
  <si>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</si>
  <si>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</si>
  <si>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</si>
  <si>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</si>
  <si>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</si>
  <si>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</si>
  <si>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</si>
  <si>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</si>
  <si>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</si>
  <si>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</si>
  <si>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</si>
  <si>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</si>
  <si>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</si>
  <si>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</si>
  <si>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</si>
  <si>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</si>
  <si>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</si>
  <si>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</si>
  <si>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</si>
  <si>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</si>
  <si>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</si>
  <si>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</si>
  <si>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</si>
  <si>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</si>
  <si>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</si>
  <si>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</si>
  <si>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</si>
  <si>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</si>
  <si>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</si>
  <si>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</si>
  <si>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</si>
  <si>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</si>
  <si>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</si>
  <si>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</si>
  <si>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</si>
  <si>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</si>
  <si>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</si>
  <si>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</si>
  <si>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</si>
  <si>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</si>
  <si>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</si>
  <si>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</si>
  <si>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</si>
  <si>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</si>
  <si>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</si>
  <si>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</si>
  <si>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</si>
  <si>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</si>
  <si>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</si>
  <si>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</si>
  <si>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</si>
  <si>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</si>
  <si>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</si>
  <si>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</si>
  <si>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</si>
  <si>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</si>
  <si>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</si>
  <si>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</si>
  <si>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</si>
  <si>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</si>
  <si>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</si>
  <si>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</si>
  <si>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</si>
  <si>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</si>
  <si>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</si>
  <si>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</si>
  <si>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</si>
  <si>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</si>
  <si>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</si>
  <si>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</si>
  <si>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</si>
  <si>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</si>
  <si>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</si>
  <si>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</si>
  <si>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</si>
  <si>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</si>
  <si>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</si>
  <si>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</si>
  <si>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</si>
  <si>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</si>
  <si>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</si>
  <si>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</si>
  <si>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</si>
  <si>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</si>
  <si>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</si>
  <si>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</si>
  <si>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</si>
  <si>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</si>
  <si>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</si>
  <si>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</si>
  <si>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</si>
  <si>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</si>
  <si>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</si>
  <si>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</si>
  <si>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</si>
  <si>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</si>
  <si>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</si>
  <si>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</si>
  <si>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</si>
  <si>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</si>
  <si>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</si>
  <si>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</si>
  <si>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</si>
  <si>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</si>
  <si>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</si>
  <si>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</si>
  <si>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</si>
  <si>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</si>
  <si>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</si>
  <si>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</si>
  <si>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</si>
  <si>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</si>
  <si>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</si>
  <si>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</si>
  <si>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</si>
  <si>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</si>
  <si>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</si>
  <si>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</si>
  <si>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</si>
  <si>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</si>
  <si>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</si>
  <si>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</si>
  <si>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</si>
  <si>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</si>
  <si>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</si>
  <si>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</si>
  <si>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</si>
  <si>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</si>
  <si>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</si>
  <si>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</si>
  <si>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</si>
  <si>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</si>
  <si>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</si>
  <si>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</si>
  <si>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</si>
  <si>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</si>
  <si>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</si>
  <si>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</si>
  <si>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</si>
  <si>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</si>
  <si>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</si>
  <si>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</si>
  <si>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</si>
  <si>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</si>
  <si>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</si>
  <si>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</si>
  <si>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</si>
  <si>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</si>
  <si>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</si>
  <si>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</si>
  <si>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</si>
  <si>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</si>
  <si>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</si>
  <si>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</si>
  <si>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</si>
  <si>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</si>
  <si>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</si>
  <si>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</si>
  <si>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</si>
  <si>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</si>
  <si>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</si>
  <si>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</si>
  <si>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</si>
  <si>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</si>
  <si>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</si>
  <si>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</si>
  <si>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</si>
  <si>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</si>
  <si>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</si>
  <si>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</si>
  <si>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</si>
  <si>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</si>
  <si>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</si>
  <si>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</si>
  <si>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</si>
  <si>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</si>
  <si>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</si>
  <si>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</si>
  <si>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</si>
  <si>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</si>
  <si>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</si>
  <si>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</si>
  <si>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</si>
  <si>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</si>
  <si>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</si>
  <si>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</si>
  <si>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</si>
  <si>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</si>
  <si>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</si>
  <si>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</si>
  <si>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</si>
  <si>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</si>
  <si>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</si>
  <si>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</si>
  <si>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</si>
  <si>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</si>
  <si>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</si>
  <si>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</si>
  <si>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</si>
  <si>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</si>
  <si>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</si>
  <si>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</si>
  <si>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</si>
  <si>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</si>
  <si>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</si>
  <si>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</si>
  <si>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</si>
  <si>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</si>
  <si>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</si>
  <si>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</si>
  <si>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</si>
  <si>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</si>
  <si>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</si>
  <si>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</si>
  <si>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</si>
  <si>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</si>
  <si>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</si>
  <si>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</si>
  <si>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</si>
  <si>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</si>
  <si>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</si>
  <si>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</si>
  <si>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</si>
  <si>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</si>
  <si>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</si>
  <si>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</si>
  <si>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</si>
  <si>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</si>
  <si>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</si>
  <si>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</si>
  <si>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</si>
  <si>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</si>
  <si>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</si>
  <si>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</si>
  <si>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</si>
  <si>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</si>
  <si>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</si>
  <si>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</si>
  <si>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</si>
  <si>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</si>
  <si>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</si>
  <si>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</si>
  <si>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</si>
  <si>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</si>
  <si>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</si>
  <si>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</si>
  <si>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</si>
  <si>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</si>
  <si>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</si>
  <si>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</si>
  <si>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</si>
  <si>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</si>
  <si>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</si>
  <si>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</si>
  <si>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</si>
  <si>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</si>
  <si>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</si>
  <si>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</si>
  <si>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</si>
  <si>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</si>
  <si>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</si>
  <si>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</si>
  <si>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</si>
  <si>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</si>
  <si>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</si>
  <si>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</si>
  <si>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</si>
  <si>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</si>
  <si>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</si>
  <si>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</si>
  <si>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</si>
  <si>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</si>
  <si>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</si>
  <si>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</si>
  <si>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</si>
  <si>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</si>
  <si>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</si>
  <si>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</si>
  <si>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</si>
  <si>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</si>
  <si>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</si>
  <si>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</si>
  <si>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</si>
  <si>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</si>
  <si>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</si>
  <si>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</si>
  <si>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</si>
  <si>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</si>
  <si>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</si>
  <si>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</si>
  <si>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</si>
  <si>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</si>
  <si>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</si>
  <si>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</si>
  <si>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</si>
  <si>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</si>
  <si>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</si>
  <si>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</si>
  <si>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</si>
  <si>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</si>
  <si>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</si>
  <si>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</si>
  <si>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</si>
  <si>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</si>
  <si>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</si>
  <si>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</si>
  <si>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</si>
  <si>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</si>
  <si>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</si>
  <si>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</si>
  <si>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</si>
  <si>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</si>
  <si>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</si>
  <si>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</si>
  <si>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</si>
  <si>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</si>
  <si>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</si>
  <si>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</si>
  <si>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</si>
  <si>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</si>
  <si>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</si>
  <si>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</si>
  <si>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</si>
  <si>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</si>
  <si>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</si>
  <si>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</si>
  <si>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</si>
  <si>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</si>
  <si>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</si>
  <si>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</si>
  <si>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</si>
  <si>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</si>
  <si>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</si>
  <si>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</si>
  <si>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</si>
  <si>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</si>
  <si>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</si>
  <si>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</si>
  <si>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</si>
  <si>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</si>
  <si>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</si>
  <si>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</si>
  <si>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</si>
  <si>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</si>
  <si>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</si>
  <si>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</si>
  <si>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</si>
  <si>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</si>
  <si>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</si>
  <si>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</si>
  <si>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</si>
  <si>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</si>
  <si>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</si>
  <si>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</si>
  <si>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</si>
  <si>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</si>
  <si>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</si>
  <si>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</si>
  <si>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</si>
  <si>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</si>
  <si>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</si>
  <si>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</si>
  <si>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</si>
  <si>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</si>
  <si>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</si>
  <si>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</si>
  <si>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</si>
  <si>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</si>
  <si>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</si>
  <si>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</si>
  <si>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</si>
  <si>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</si>
  <si>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</si>
  <si>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</si>
  <si>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</si>
  <si>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</si>
  <si>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</si>
  <si>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</si>
  <si>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</si>
  <si>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</si>
  <si>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</si>
  <si>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</si>
  <si>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</si>
  <si>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</si>
  <si>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</si>
  <si>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</si>
  <si>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</si>
  <si>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</si>
  <si>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</si>
  <si>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</si>
  <si>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</si>
  <si>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</si>
  <si>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</si>
  <si>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</si>
  <si>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</si>
  <si>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</si>
  <si>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</si>
  <si>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</si>
  <si>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</si>
  <si>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</si>
  <si>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</si>
  <si>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</si>
  <si>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</si>
  <si>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</si>
  <si>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</si>
  <si>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</si>
  <si>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</si>
  <si>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</si>
  <si>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</si>
  <si>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</si>
  <si>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</si>
  <si>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</si>
  <si>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</si>
  <si>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</si>
  <si>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</si>
  <si>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</si>
  <si>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</si>
  <si>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</si>
  <si>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</si>
  <si>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</si>
  <si>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</si>
  <si>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</si>
  <si>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</si>
  <si>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</si>
  <si>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</si>
  <si>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</si>
  <si>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</si>
  <si>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</si>
  <si>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</si>
  <si>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</si>
  <si>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</si>
  <si>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</si>
  <si>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</si>
  <si>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</si>
  <si>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</si>
  <si>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</si>
  <si>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</si>
  <si>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</si>
  <si>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</si>
  <si>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</si>
  <si>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</si>
  <si>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</si>
  <si>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</si>
  <si>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</si>
  <si>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</si>
  <si>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</si>
  <si>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</si>
  <si>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</si>
  <si>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</si>
  <si>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</si>
  <si>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</si>
  <si>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</si>
  <si>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</si>
  <si>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</si>
  <si>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</si>
  <si>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</si>
  <si>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</si>
  <si>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</si>
  <si>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</si>
  <si>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</si>
  <si>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</si>
  <si>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</si>
  <si>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</si>
  <si>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</si>
  <si>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</si>
  <si>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</si>
  <si>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</si>
  <si>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</si>
  <si>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</si>
  <si>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</si>
  <si>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</si>
  <si>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</si>
  <si>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</si>
  <si>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</si>
  <si>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</si>
  <si>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</si>
  <si>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</si>
  <si>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</si>
  <si>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</si>
  <si>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</si>
  <si>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</si>
  <si>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</si>
  <si>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</si>
  <si>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</si>
  <si>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</si>
  <si>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</si>
  <si>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</si>
  <si>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</si>
  <si>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</si>
  <si>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</si>
  <si>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</si>
  <si>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</si>
  <si>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</si>
  <si>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</si>
  <si>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</si>
  <si>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</si>
  <si>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</si>
  <si>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</si>
  <si>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</si>
  <si>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</si>
  <si>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</si>
  <si>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</si>
  <si>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</si>
  <si>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</si>
  <si>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</si>
  <si>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</si>
  <si>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</si>
  <si>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</si>
  <si>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</si>
  <si>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</si>
  <si>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</si>
  <si>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</si>
  <si>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</si>
  <si>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</si>
  <si>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</si>
  <si>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</si>
  <si>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</si>
  <si>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</si>
  <si>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</si>
  <si>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</si>
  <si>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</si>
  <si>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</si>
  <si>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</si>
  <si>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</si>
  <si>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</si>
  <si>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</si>
  <si>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</si>
  <si>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</si>
  <si>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</si>
  <si>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</si>
  <si>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</si>
  <si>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</si>
  <si>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</si>
  <si>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</si>
  <si>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</si>
  <si>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</si>
  <si>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</si>
  <si>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</si>
  <si>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</si>
  <si>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</si>
  <si>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</si>
  <si>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</si>
  <si>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</si>
  <si>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</si>
  <si>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</si>
  <si>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</si>
  <si>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</si>
  <si>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</si>
  <si>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</si>
  <si>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</si>
  <si>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</si>
  <si>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</si>
  <si>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</si>
  <si>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</si>
  <si>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</si>
  <si>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</si>
  <si>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</si>
  <si>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</si>
  <si>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</si>
  <si>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</si>
  <si>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</si>
  <si>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</si>
  <si>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</si>
  <si>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</si>
  <si>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</si>
  <si>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</si>
  <si>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</si>
  <si>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</si>
  <si>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</si>
  <si>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</si>
  <si>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</si>
  <si>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</si>
  <si>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</si>
  <si>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</si>
  <si>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</si>
  <si>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</si>
  <si>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</si>
  <si>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</si>
  <si>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</si>
  <si>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</si>
  <si>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</si>
  <si>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</si>
  <si>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</si>
  <si>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</si>
  <si>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</si>
  <si>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</si>
  <si>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</si>
  <si>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</si>
  <si>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</si>
  <si>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</si>
  <si>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</si>
  <si>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</si>
  <si>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</si>
  <si>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</si>
  <si>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</si>
  <si>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</si>
  <si>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</si>
  <si>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</si>
  <si>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</si>
  <si>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</si>
  <si>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</si>
  <si>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</si>
  <si>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</si>
  <si>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</si>
  <si>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</si>
  <si>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</si>
  <si>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</si>
  <si>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</si>
  <si>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</si>
  <si>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</si>
  <si>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</si>
  <si>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</si>
  <si>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</si>
  <si>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</si>
  <si>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</si>
  <si>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</si>
  <si>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</si>
  <si>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</si>
  <si>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</si>
  <si>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</si>
  <si>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</si>
  <si>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</si>
  <si>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</si>
  <si>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</si>
  <si>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</si>
  <si>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</si>
  <si>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</si>
  <si>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</si>
  <si>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</si>
  <si>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</si>
  <si>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</si>
  <si>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</si>
  <si>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</si>
  <si>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</si>
  <si>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</si>
  <si>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</si>
  <si>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</si>
  <si>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</si>
  <si>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</si>
  <si>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</si>
  <si>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</si>
  <si>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</si>
  <si>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</si>
  <si>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</si>
  <si>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</si>
  <si>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</si>
  <si>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</si>
  <si>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</si>
  <si>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</si>
  <si>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</si>
  <si>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</si>
  <si>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</si>
  <si>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</si>
  <si>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</si>
  <si>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</si>
  <si>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</si>
  <si>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</si>
  <si>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</si>
  <si>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</si>
  <si>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</si>
  <si>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</si>
  <si>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</si>
  <si>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</si>
  <si>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</si>
  <si>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</si>
  <si>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</si>
  <si>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</si>
  <si>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</si>
  <si>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</si>
  <si>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</si>
  <si>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</si>
  <si>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</si>
  <si>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</si>
  <si>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</si>
  <si>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</si>
  <si>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</si>
  <si>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</si>
  <si>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</si>
  <si>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</si>
  <si>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</si>
  <si>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</si>
  <si>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</si>
  <si>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</si>
  <si>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</si>
  <si>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</si>
  <si>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</si>
  <si>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</si>
  <si>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</si>
  <si>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</si>
  <si>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</si>
  <si>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</si>
  <si>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</si>
  <si>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</si>
  <si>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</si>
  <si>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</si>
  <si>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</si>
  <si>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</si>
  <si>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</si>
  <si>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</si>
  <si>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</si>
  <si>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</si>
  <si>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</si>
  <si>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</si>
  <si>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</si>
  <si>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</si>
  <si>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</si>
  <si>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</si>
  <si>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</si>
  <si>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</si>
  <si>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</si>
  <si>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</si>
  <si>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</si>
  <si>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</si>
  <si>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</si>
  <si>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</si>
  <si>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</si>
  <si>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</si>
  <si>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</si>
  <si>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</si>
  <si>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</si>
  <si>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</si>
  <si>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</si>
  <si>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</si>
  <si>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</si>
  <si>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</si>
  <si>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</si>
  <si>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</si>
  <si>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</si>
  <si>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</si>
  <si>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</si>
  <si>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</si>
  <si>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</si>
  <si>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</si>
  <si>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</si>
  <si>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</si>
  <si>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</si>
  <si>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</si>
  <si>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</si>
  <si>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</si>
  <si>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</si>
  <si>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</si>
  <si>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</si>
  <si>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</si>
  <si>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</si>
  <si>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</si>
  <si>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</si>
  <si>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</si>
  <si>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</si>
  <si>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</si>
  <si>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</si>
  <si>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</si>
  <si>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</si>
  <si>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</si>
  <si>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</si>
  <si>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</si>
  <si>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</si>
  <si>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</si>
  <si>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</si>
  <si>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</si>
  <si>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</si>
  <si>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</si>
  <si>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</si>
  <si>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</si>
  <si>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</si>
  <si>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</si>
  <si>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</si>
  <si>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</si>
  <si>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</si>
  <si>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</si>
  <si>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</si>
  <si>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</si>
  <si>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</si>
  <si>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</si>
  <si>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</si>
  <si>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</si>
  <si>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</si>
  <si>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</si>
  <si>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</si>
  <si>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</si>
  <si>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</si>
  <si>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</si>
  <si>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</si>
  <si>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</si>
  <si>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</si>
  <si>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</si>
  <si>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</si>
  <si>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</si>
  <si>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</si>
  <si>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</si>
  <si>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</si>
  <si>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</si>
  <si>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</si>
  <si>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</si>
  <si>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</si>
  <si>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</si>
  <si>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</si>
  <si>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</si>
  <si>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</si>
  <si>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</si>
  <si>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</si>
  <si>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</si>
  <si>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</si>
  <si>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</si>
  <si>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</si>
  <si>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</si>
  <si>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</si>
  <si>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</si>
  <si>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</si>
  <si>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</si>
  <si>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</si>
  <si>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</si>
  <si>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</si>
  <si>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</si>
  <si>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</si>
  <si>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</si>
  <si>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</si>
  <si>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</si>
  <si>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</si>
  <si>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</si>
  <si>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</si>
  <si>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</si>
  <si>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</si>
  <si>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</si>
  <si>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</si>
  <si>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</si>
  <si>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</si>
  <si>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</si>
  <si>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</si>
  <si>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</si>
  <si>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</si>
  <si>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</si>
  <si>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</si>
  <si>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</si>
  <si>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</si>
  <si>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</si>
  <si>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</si>
  <si>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</si>
  <si>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</si>
  <si>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</si>
  <si>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</si>
  <si>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</si>
  <si>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</si>
  <si>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</si>
  <si>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</si>
  <si>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</si>
  <si>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</si>
  <si>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</si>
  <si>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</si>
  <si>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</si>
  <si>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</si>
  <si>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</si>
  <si>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</si>
  <si>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</si>
  <si>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</si>
  <si>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</si>
  <si>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</si>
  <si>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</si>
  <si>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</si>
  <si>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</si>
  <si>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</si>
  <si>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</si>
  <si>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</si>
  <si>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</si>
  <si>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</si>
  <si>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</si>
  <si>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</si>
  <si>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</si>
  <si>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</si>
  <si>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</si>
  <si>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</si>
  <si>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</si>
  <si>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</si>
  <si>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</si>
  <si>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</si>
  <si>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</si>
  <si>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</si>
  <si>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</si>
  <si>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</si>
  <si>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</si>
  <si>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</si>
  <si>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</si>
  <si>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</si>
  <si>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</si>
  <si>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</si>
  <si>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</si>
  <si>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</si>
  <si>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</si>
  <si>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</si>
  <si>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</si>
  <si>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</si>
  <si>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</si>
  <si>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</si>
  <si>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</si>
  <si>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</si>
  <si>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</si>
  <si>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</si>
  <si>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</si>
  <si>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</si>
  <si>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</si>
  <si>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</si>
  <si>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</si>
  <si>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</si>
  <si>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</si>
  <si>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</si>
  <si>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</si>
  <si>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</si>
  <si>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</si>
  <si>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</si>
  <si>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</si>
  <si>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</si>
  <si>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</si>
  <si>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</si>
  <si>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</si>
  <si>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</si>
  <si>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</si>
  <si>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</si>
  <si>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</si>
  <si>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</si>
  <si>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</si>
  <si>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</si>
  <si>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</si>
  <si>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</si>
  <si>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</si>
  <si>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</si>
  <si>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</si>
  <si>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</si>
  <si>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</si>
  <si>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</si>
  <si>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</si>
  <si>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</si>
  <si>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</si>
  <si>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</si>
  <si>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</si>
  <si>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</si>
  <si>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</si>
  <si>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</si>
  <si>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</si>
  <si>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</si>
  <si>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</si>
  <si>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</si>
  <si>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</si>
  <si>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</si>
  <si>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</si>
  <si>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</si>
  <si>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</si>
  <si>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</si>
  <si>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</si>
  <si>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</si>
  <si>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</si>
  <si>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</si>
  <si>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</si>
  <si>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</si>
  <si>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</si>
  <si>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</si>
  <si>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</si>
  <si>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</si>
  <si>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</si>
  <si>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</si>
  <si>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</si>
  <si>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</si>
  <si>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</si>
  <si>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</si>
  <si>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</si>
  <si>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</si>
  <si>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</si>
  <si>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</si>
  <si>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</si>
  <si>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</si>
  <si>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</si>
  <si>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</si>
  <si>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</si>
  <si>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</si>
  <si>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</si>
  <si>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</si>
  <si>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</si>
  <si>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</si>
  <si>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</si>
  <si>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</si>
  <si>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</si>
  <si>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</si>
  <si>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</si>
  <si>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</si>
  <si>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</si>
  <si>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</si>
  <si>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</si>
  <si>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</si>
  <si>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</si>
  <si>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</si>
  <si>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</si>
  <si>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</si>
  <si>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</si>
  <si>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</si>
  <si>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</si>
  <si>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</si>
  <si>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</si>
  <si>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</si>
  <si>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</si>
  <si>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</si>
  <si>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</si>
  <si>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</si>
  <si>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</si>
  <si>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</si>
  <si>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</si>
  <si>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</si>
  <si>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</si>
  <si>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</si>
  <si>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</si>
  <si>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</si>
  <si>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</si>
  <si>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</si>
  <si>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</si>
  <si>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</si>
  <si>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</si>
  <si>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</si>
  <si>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</si>
  <si>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</si>
  <si>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</si>
  <si>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</si>
  <si>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</si>
  <si>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</si>
  <si>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</si>
  <si>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</si>
  <si>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</si>
  <si>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</si>
  <si>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</si>
  <si>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</si>
  <si>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</si>
  <si>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</si>
  <si>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</si>
  <si>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</si>
  <si>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</si>
  <si>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</si>
  <si>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</si>
  <si>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</si>
  <si>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</si>
  <si>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</si>
  <si>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</si>
  <si>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</si>
  <si>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</si>
  <si>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</si>
  <si>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</si>
  <si>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</si>
  <si>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</si>
  <si>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</si>
  <si>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</si>
  <si>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</si>
  <si>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</si>
  <si>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</si>
  <si>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</si>
  <si>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</si>
  <si>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</si>
  <si>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</si>
  <si>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</si>
  <si>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</si>
  <si>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</si>
  <si>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</si>
  <si>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</si>
  <si>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</si>
  <si>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</si>
  <si>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</si>
  <si>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</si>
  <si>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</si>
  <si>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</si>
  <si>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</si>
  <si>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</si>
  <si>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</si>
  <si>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</si>
  <si>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</si>
  <si>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</si>
  <si>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</si>
  <si>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</si>
  <si>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</si>
  <si>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</si>
  <si>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</si>
  <si>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</si>
  <si>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</si>
  <si>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</si>
  <si>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</si>
  <si>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</si>
  <si>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</si>
  <si>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</si>
  <si>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</si>
  <si>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</si>
  <si>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</si>
  <si>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</si>
  <si>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</si>
  <si>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</si>
  <si>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</si>
  <si>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</si>
  <si>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</si>
  <si>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</si>
  <si>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</si>
  <si>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</si>
  <si>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</si>
  <si>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</si>
  <si>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</si>
  <si>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</si>
  <si>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</si>
  <si>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</si>
  <si>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</si>
  <si>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</si>
  <si>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</si>
  <si>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</si>
  <si>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</si>
  <si>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</si>
  <si>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</si>
  <si>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</si>
  <si>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</si>
  <si>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</si>
  <si>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</si>
  <si>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</si>
  <si>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</si>
  <si>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</si>
  <si>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</si>
  <si>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</si>
  <si>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</si>
  <si>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</si>
  <si>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</si>
  <si>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</si>
  <si>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</si>
  <si>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</si>
  <si>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</si>
  <si>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</si>
  <si>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</si>
  <si>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</si>
  <si>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</si>
  <si>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</si>
  <si>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</si>
  <si>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</si>
  <si>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</si>
  <si>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</si>
  <si>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</si>
  <si>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</si>
  <si>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</si>
  <si>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</si>
  <si>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</si>
  <si>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</si>
  <si>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</si>
  <si>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</si>
  <si>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</si>
  <si>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</si>
  <si>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</si>
  <si>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</si>
  <si>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</si>
  <si>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</si>
  <si>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</si>
  <si>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</si>
  <si>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</si>
  <si>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</si>
  <si>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</si>
  <si>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</si>
  <si>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</si>
  <si>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</si>
  <si>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</si>
  <si>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</si>
  <si>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</si>
  <si>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</si>
  <si>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</si>
  <si>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</si>
  <si>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</si>
  <si>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</si>
  <si>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</si>
  <si>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</si>
  <si>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</si>
  <si>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</si>
  <si>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</si>
  <si>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</si>
  <si>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</si>
  <si>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</si>
  <si>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</si>
  <si>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</si>
  <si>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</si>
  <si>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</si>
  <si>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</si>
  <si>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</si>
  <si>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</si>
  <si>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</si>
  <si>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</si>
  <si>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</si>
  <si>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</si>
  <si>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</si>
  <si>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</si>
  <si>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</si>
  <si>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</si>
  <si>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</si>
  <si>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</si>
  <si>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</si>
  <si>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</si>
  <si>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</si>
  <si>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</si>
  <si>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</si>
  <si>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</si>
  <si>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</si>
  <si>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</si>
  <si>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</si>
  <si>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</si>
  <si>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</si>
  <si>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</si>
  <si>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</si>
  <si>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</si>
  <si>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</si>
  <si>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</si>
  <si>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</si>
  <si>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</si>
  <si>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</si>
  <si>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</si>
  <si>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</si>
  <si>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</si>
  <si>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</si>
  <si>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</si>
  <si>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</si>
  <si>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</si>
  <si>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</si>
  <si>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</si>
  <si>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</si>
  <si>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</si>
  <si>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</si>
  <si>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</si>
  <si>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</si>
  <si>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</si>
  <si>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</si>
  <si>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</si>
  <si>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</si>
  <si>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</si>
  <si>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</si>
  <si>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</si>
  <si>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</si>
  <si>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</si>
  <si>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</si>
  <si>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</si>
  <si>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</si>
  <si>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</si>
  <si>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</si>
  <si>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</si>
  <si>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</si>
  <si>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</si>
  <si>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</si>
  <si>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</si>
  <si>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</si>
  <si>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</si>
  <si>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</si>
  <si>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</si>
  <si>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</si>
  <si>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</si>
  <si>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</si>
  <si>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</si>
  <si>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</si>
  <si>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</si>
  <si>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</si>
  <si>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</si>
  <si>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</si>
  <si>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</si>
  <si>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</si>
  <si>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</si>
  <si>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</si>
  <si>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</si>
  <si>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</si>
  <si>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</si>
  <si>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</si>
  <si>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</si>
  <si>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</si>
  <si>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</si>
  <si>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</si>
  <si>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</si>
  <si>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</si>
  <si>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</si>
  <si>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</si>
  <si>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</si>
  <si>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</si>
  <si>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</si>
  <si>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</si>
  <si>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</si>
  <si>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</si>
  <si>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</si>
  <si>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</si>
  <si>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</si>
  <si>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</si>
  <si>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</si>
  <si>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</si>
  <si>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</si>
  <si>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</si>
  <si>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</si>
  <si>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</si>
  <si>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</si>
  <si>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</si>
  <si>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</si>
  <si>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</si>
  <si>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</si>
  <si>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</si>
  <si>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</si>
  <si>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</si>
  <si>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</si>
  <si>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</si>
  <si>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</si>
  <si>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</si>
  <si>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</si>
  <si>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</si>
  <si>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</si>
  <si>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</si>
  <si>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</si>
  <si>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</si>
  <si>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</si>
  <si>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</si>
  <si>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</si>
  <si>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</si>
  <si>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</si>
  <si>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</si>
  <si>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</si>
  <si>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</si>
  <si>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</si>
  <si>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</si>
  <si>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</si>
  <si>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</si>
  <si>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</si>
  <si>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</si>
  <si>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</si>
  <si>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</si>
  <si>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</si>
  <si>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</si>
  <si>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</si>
  <si>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</si>
  <si>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</si>
  <si>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</si>
  <si>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</si>
  <si>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</si>
  <si>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</si>
  <si>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</si>
  <si>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</si>
  <si>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</si>
  <si>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</si>
  <si>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</si>
  <si>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</si>
  <si>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</si>
  <si>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</si>
  <si>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</si>
  <si>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</si>
  <si>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</si>
  <si>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</si>
  <si>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</si>
  <si>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</si>
  <si>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</si>
  <si>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</si>
  <si>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</si>
  <si>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</si>
  <si>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</si>
  <si>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</si>
  <si>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</si>
  <si>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</si>
  <si>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</si>
  <si>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</si>
  <si>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</si>
  <si>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</si>
  <si>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</si>
  <si>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</si>
  <si>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</si>
  <si>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</si>
  <si>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</si>
  <si>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</si>
  <si>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</si>
  <si>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</si>
  <si>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</si>
  <si>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</si>
  <si>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</si>
  <si>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</si>
  <si>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</si>
  <si>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</si>
  <si>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</si>
  <si>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</si>
  <si>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</si>
  <si>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</si>
  <si>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</si>
  <si>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</si>
  <si>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</si>
  <si>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</si>
  <si>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</si>
  <si>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</si>
  <si>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</si>
  <si>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</si>
  <si>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</si>
  <si>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</si>
  <si>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</si>
  <si>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</si>
  <si>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</si>
  <si>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</si>
  <si>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</si>
  <si>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</si>
  <si>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</si>
  <si>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</si>
  <si>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</si>
  <si>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</si>
  <si>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</si>
  <si>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</si>
  <si>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</si>
  <si>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</si>
  <si>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</si>
  <si>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</si>
  <si>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</si>
  <si>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</si>
  <si>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</si>
  <si>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</si>
  <si>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</si>
  <si>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</si>
  <si>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</si>
  <si>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</si>
  <si>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</si>
  <si>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</si>
  <si>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</si>
  <si>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</si>
  <si>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</si>
  <si>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</si>
  <si>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</si>
  <si>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</si>
  <si>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</si>
  <si>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</si>
  <si>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</si>
  <si>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</si>
  <si>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</si>
  <si>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</si>
  <si>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</si>
  <si>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</si>
  <si>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</si>
  <si>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</si>
  <si>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</si>
  <si>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</si>
  <si>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</si>
  <si>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</si>
  <si>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</si>
  <si>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</si>
  <si>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</si>
  <si>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</si>
  <si>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</si>
  <si>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</si>
  <si>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</si>
  <si>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</si>
  <si>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</si>
  <si>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</si>
  <si>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</si>
  <si>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</si>
  <si>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</si>
  <si>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</si>
  <si>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</si>
  <si>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</si>
  <si>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</si>
  <si>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</si>
  <si>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</si>
  <si>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</si>
  <si>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</si>
  <si>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</si>
  <si>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</si>
  <si>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</si>
  <si>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</si>
  <si>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</si>
  <si>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</si>
  <si>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</si>
  <si>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</si>
  <si>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</si>
  <si>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</si>
  <si>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</si>
  <si>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</si>
  <si>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</si>
  <si>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</si>
  <si>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</si>
  <si>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</si>
  <si>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</si>
  <si>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</si>
  <si>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</si>
  <si>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</si>
  <si>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</si>
  <si>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</si>
  <si>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</si>
  <si>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</si>
  <si>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</si>
  <si>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</si>
  <si>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</si>
  <si>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</si>
  <si>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</si>
  <si>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</si>
  <si>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</si>
  <si>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</si>
  <si>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</si>
  <si>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</si>
  <si>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</si>
  <si>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</si>
  <si>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</si>
  <si>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</si>
  <si>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</si>
  <si>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</si>
  <si>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</si>
  <si>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</si>
  <si>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</si>
  <si>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</si>
  <si>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</si>
  <si>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</si>
  <si>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</si>
  <si>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</si>
  <si>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</si>
  <si>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</si>
  <si>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</si>
  <si>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</si>
  <si>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</si>
  <si>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</si>
  <si>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</si>
  <si>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</si>
  <si>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</si>
  <si>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</si>
  <si>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</si>
  <si>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</si>
  <si>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</si>
  <si>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</si>
  <si>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</si>
  <si>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</si>
  <si>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</si>
  <si>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</si>
  <si>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</si>
  <si>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</si>
  <si>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</si>
  <si>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</si>
  <si>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</si>
  <si>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</si>
  <si>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</si>
  <si>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</si>
  <si>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</si>
  <si>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</si>
  <si>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</si>
  <si>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</si>
  <si>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</si>
  <si>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</si>
  <si>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</si>
  <si>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</si>
  <si>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</si>
  <si>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</si>
  <si>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</si>
  <si>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</si>
  <si>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</si>
  <si>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</si>
  <si>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</si>
  <si>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</si>
  <si>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</si>
  <si>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</si>
  <si>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</si>
  <si>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</si>
  <si>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</si>
  <si>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</si>
  <si>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</si>
  <si>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</si>
  <si>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</si>
  <si>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</si>
  <si>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</si>
  <si>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</si>
  <si>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</si>
  <si>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</si>
  <si>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</si>
  <si>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</si>
  <si>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</si>
  <si>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</si>
  <si>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</si>
  <si>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</si>
  <si>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</si>
  <si>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</si>
  <si>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</si>
  <si>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</si>
  <si>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</si>
  <si>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</si>
  <si>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</si>
  <si>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</si>
  <si>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</si>
  <si>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</si>
  <si>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</si>
  <si>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</si>
  <si>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</si>
  <si>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</si>
  <si>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</si>
  <si>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</si>
  <si>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</si>
  <si>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</si>
  <si>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</si>
  <si>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</si>
  <si>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</si>
  <si>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</si>
  <si>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</si>
  <si>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</si>
  <si>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</si>
  <si>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</si>
  <si>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</si>
  <si>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</si>
  <si>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</si>
  <si>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</si>
  <si>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</si>
  <si>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</si>
  <si>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</si>
  <si>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</si>
  <si>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</si>
  <si>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</si>
  <si>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</si>
  <si>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</si>
  <si>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</si>
  <si>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</si>
  <si>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</si>
  <si>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</si>
  <si>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</si>
  <si>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</si>
  <si>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</si>
  <si>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</si>
  <si>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</si>
  <si>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</si>
  <si>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</si>
  <si>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</si>
  <si>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</si>
  <si>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</si>
  <si>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</si>
  <si>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</si>
  <si>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</si>
  <si>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</si>
  <si>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</si>
  <si>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</si>
  <si>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</si>
  <si>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</si>
  <si>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</si>
  <si>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</si>
  <si>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</si>
  <si>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</si>
  <si>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</si>
  <si>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</si>
  <si>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</si>
  <si>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</si>
  <si>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</si>
  <si>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</si>
  <si>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</si>
  <si>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</si>
  <si>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</si>
  <si>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</si>
  <si>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</si>
  <si>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</si>
  <si>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</si>
  <si>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</si>
  <si>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</si>
  <si>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</si>
  <si>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</si>
  <si>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</si>
  <si>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</si>
  <si>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</si>
  <si>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</si>
  <si>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</si>
  <si>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</si>
  <si>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</si>
  <si>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</si>
  <si>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</si>
  <si>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</si>
  <si>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</si>
  <si>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</si>
  <si>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</si>
  <si>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</si>
  <si>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</si>
  <si>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</si>
  <si>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</si>
  <si>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</si>
  <si>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</si>
  <si>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</si>
  <si>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</si>
  <si>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</si>
  <si>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</si>
  <si>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</si>
  <si>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</si>
  <si>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</si>
  <si>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</si>
  <si>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</si>
  <si>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</si>
  <si>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</si>
  <si>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</si>
  <si>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</si>
  <si>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</si>
  <si>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</si>
  <si>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</si>
  <si>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</si>
  <si>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</si>
  <si>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</si>
  <si>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</si>
  <si>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</si>
  <si>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</si>
  <si>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</si>
  <si>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</si>
  <si>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</si>
  <si>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</si>
  <si>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</si>
  <si>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</si>
  <si>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</si>
  <si>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</si>
  <si>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</si>
  <si>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</si>
  <si>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</si>
  <si>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</si>
  <si>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</si>
  <si>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</si>
  <si>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</si>
  <si>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</si>
  <si>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</si>
  <si>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</si>
  <si>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</si>
  <si>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</si>
  <si>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</si>
  <si>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</si>
  <si>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</si>
  <si>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</si>
  <si>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</si>
  <si>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</si>
  <si>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</si>
  <si>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</si>
  <si>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</si>
  <si>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</si>
  <si>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</si>
  <si>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</si>
  <si>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</si>
  <si>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</si>
  <si>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</si>
  <si>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</si>
  <si>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</si>
  <si>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</si>
  <si>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</si>
  <si>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</si>
  <si>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</si>
  <si>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</si>
  <si>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</si>
  <si>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</si>
  <si>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</si>
  <si>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</si>
  <si>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</si>
  <si>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</si>
  <si>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</si>
  <si>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</si>
  <si>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</si>
  <si>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</si>
  <si>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</si>
  <si>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</si>
  <si>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</si>
  <si>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</si>
  <si>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</si>
  <si>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</si>
  <si>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</si>
  <si>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</si>
  <si>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</si>
  <si>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</si>
  <si>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</si>
  <si>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</si>
  <si>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</si>
  <si>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</si>
  <si>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</si>
  <si>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</si>
  <si>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</si>
  <si>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</si>
  <si>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</si>
  <si>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</si>
  <si>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</si>
  <si>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</si>
  <si>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</si>
  <si>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</si>
  <si>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</si>
  <si>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</si>
  <si>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</si>
  <si>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</si>
  <si>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</si>
  <si>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</si>
  <si>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</si>
  <si>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</si>
  <si>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</si>
  <si>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</si>
  <si>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</si>
  <si>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</si>
  <si>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</si>
  <si>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</si>
  <si>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</si>
  <si>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</si>
  <si>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</si>
  <si>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</si>
  <si>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</si>
  <si>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</si>
  <si>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</si>
  <si>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</si>
  <si>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</si>
  <si>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</si>
  <si>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</si>
  <si>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</si>
  <si>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</si>
  <si>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</si>
  <si>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</si>
  <si>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</si>
  <si>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</si>
  <si>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</si>
  <si>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</si>
  <si>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</si>
  <si>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</si>
  <si>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</si>
  <si>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</si>
  <si>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</si>
  <si>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</si>
  <si>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</si>
  <si>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</si>
  <si>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</si>
  <si>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</si>
  <si>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</si>
  <si>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</si>
  <si>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</si>
  <si>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</si>
  <si>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</si>
  <si>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</si>
  <si>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</si>
  <si>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</si>
  <si>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</si>
  <si>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</si>
  <si>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</si>
  <si>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</si>
  <si>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</si>
  <si>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</si>
  <si>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</si>
  <si>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</si>
  <si>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</si>
  <si>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</si>
  <si>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</si>
  <si>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</si>
  <si>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</si>
  <si>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</si>
  <si>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</si>
  <si>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</si>
  <si>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</si>
  <si>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</si>
  <si>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</si>
  <si>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</si>
  <si>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</si>
  <si>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</si>
  <si>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</si>
  <si>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</si>
  <si>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</si>
  <si>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</si>
  <si>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</si>
  <si>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</si>
  <si>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</si>
  <si>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</si>
  <si>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</si>
  <si>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</si>
  <si>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</si>
  <si>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</si>
  <si>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</si>
  <si>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</si>
  <si>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</si>
  <si>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</si>
  <si>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</si>
  <si>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</si>
  <si>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</si>
  <si>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</si>
  <si>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</si>
  <si>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</si>
  <si>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</si>
  <si>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</si>
  <si>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</si>
  <si>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</si>
  <si>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</si>
  <si>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</si>
  <si>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</si>
  <si>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</si>
  <si>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</si>
  <si>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</si>
  <si>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</si>
  <si>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</si>
  <si>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</si>
  <si>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</si>
  <si>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</si>
  <si>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</si>
  <si>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</si>
  <si>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</si>
  <si>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</si>
  <si>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</si>
  <si>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</si>
  <si>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</si>
  <si>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</si>
  <si>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</si>
  <si>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</si>
  <si>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</si>
  <si>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</si>
  <si>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</si>
  <si>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</si>
  <si>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</si>
  <si>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</si>
  <si>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</si>
  <si>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</si>
  <si>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</si>
  <si>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</si>
  <si>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</si>
  <si>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</si>
  <si>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</si>
  <si>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</si>
  <si>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</si>
  <si>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</si>
  <si>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</si>
  <si>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</si>
  <si>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</si>
  <si>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</si>
  <si>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</si>
  <si>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</si>
  <si>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</si>
  <si>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</si>
  <si>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</si>
  <si>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</si>
  <si>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</si>
  <si>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</si>
  <si>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</si>
  <si>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</si>
  <si>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</si>
  <si>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</si>
  <si>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</si>
  <si>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</si>
  <si>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</si>
  <si>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</si>
  <si>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</si>
  <si>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</si>
  <si>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</si>
  <si>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</si>
  <si>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</si>
  <si>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</si>
  <si>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</si>
  <si>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</si>
  <si>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</si>
  <si>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</si>
  <si>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</si>
  <si>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</si>
  <si>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</si>
  <si>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</si>
  <si>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</si>
  <si>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</si>
  <si>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</si>
  <si>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</si>
  <si>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</si>
  <si>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</si>
  <si>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</si>
  <si>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</si>
  <si>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</si>
  <si>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</si>
  <si>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</si>
  <si>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</si>
  <si>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</si>
  <si>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</si>
  <si>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</si>
  <si>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</si>
  <si>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</si>
  <si>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</si>
  <si>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</si>
  <si>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</si>
  <si>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</si>
  <si>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</si>
  <si>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</si>
  <si>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</si>
  <si>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</si>
  <si>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</si>
  <si>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</si>
  <si>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</si>
  <si>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</si>
  <si>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</si>
  <si>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</si>
  <si>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</si>
  <si>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</si>
  <si>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</si>
  <si>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</si>
  <si>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</si>
  <si>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</si>
  <si>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</si>
  <si>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</si>
  <si>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</si>
  <si>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</si>
  <si>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</si>
  <si>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</si>
  <si>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</si>
  <si>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</si>
  <si>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</si>
  <si>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</si>
  <si>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</si>
  <si>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</si>
  <si>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</si>
  <si>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</si>
  <si>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</si>
  <si>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</si>
  <si>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</si>
  <si>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</si>
  <si>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</si>
  <si>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</si>
  <si>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</si>
  <si>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</si>
  <si>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</si>
  <si>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</si>
  <si>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</si>
  <si>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</si>
  <si>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</si>
  <si>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</si>
  <si>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</si>
  <si>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</si>
  <si>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</si>
  <si>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</si>
  <si>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</si>
  <si>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</si>
  <si>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</si>
  <si>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</si>
  <si>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</si>
  <si>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</si>
  <si>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</si>
  <si>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</si>
  <si>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</si>
  <si>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</si>
  <si>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</si>
  <si>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</si>
  <si>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</si>
  <si>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</si>
  <si>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</si>
  <si>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</si>
  <si>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</si>
  <si>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</si>
  <si>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</si>
  <si>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</si>
  <si>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</si>
  <si>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</si>
  <si>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</si>
  <si>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</si>
  <si>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</si>
  <si>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</si>
  <si>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</si>
  <si>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</si>
  <si>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</si>
  <si>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</si>
  <si>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</si>
  <si>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</si>
  <si>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</si>
  <si>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</si>
  <si>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</si>
  <si>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</si>
  <si>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</si>
  <si>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</si>
  <si>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</si>
  <si>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</si>
  <si>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</si>
  <si>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</si>
  <si>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</si>
  <si>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</si>
  <si>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</si>
  <si>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</si>
  <si>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</si>
  <si>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</si>
  <si>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</si>
  <si>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</si>
  <si>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</si>
  <si>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</si>
  <si>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</si>
  <si>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</si>
  <si>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</si>
  <si>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</si>
  <si>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</si>
  <si>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</si>
  <si>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</si>
  <si>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</si>
  <si>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</si>
  <si>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</si>
  <si>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</si>
  <si>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</si>
  <si>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</si>
  <si>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</si>
  <si>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</si>
  <si>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</si>
  <si>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</si>
  <si>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</si>
  <si>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</si>
  <si>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</si>
  <si>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</si>
  <si>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</si>
  <si>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</si>
  <si>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</si>
  <si>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</si>
  <si>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</si>
  <si>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</si>
  <si>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</si>
  <si>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</si>
  <si>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</si>
  <si>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</si>
  <si>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</si>
  <si>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</si>
  <si>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</si>
  <si>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</si>
  <si>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</si>
  <si>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</si>
  <si>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</si>
  <si>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</si>
  <si>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</si>
  <si>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</si>
  <si>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</si>
  <si>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</si>
  <si>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</si>
  <si>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</si>
  <si>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</si>
  <si>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</si>
  <si>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</si>
  <si>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</si>
  <si>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</si>
  <si>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</si>
  <si>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</si>
  <si>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</si>
  <si>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</si>
  <si>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</si>
  <si>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</si>
  <si>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</si>
  <si>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</si>
  <si>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</si>
  <si>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</si>
  <si>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</si>
  <si>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</si>
  <si>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</si>
  <si>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</si>
  <si>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</si>
  <si>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</si>
  <si>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</si>
  <si>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</si>
  <si>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</si>
  <si>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</si>
  <si>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</si>
  <si>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</si>
  <si>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</si>
  <si>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</si>
  <si>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</si>
  <si>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</si>
  <si>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</si>
  <si>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</si>
  <si>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</si>
  <si>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</si>
  <si>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</si>
  <si>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</si>
  <si>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</si>
  <si>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</si>
  <si>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</si>
  <si>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</si>
  <si>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</si>
  <si>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</si>
  <si>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</si>
  <si>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</si>
  <si>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</si>
  <si>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</si>
  <si>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</si>
  <si>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</si>
  <si>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</si>
  <si>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</si>
  <si>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</si>
  <si>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</si>
  <si>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</si>
  <si>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</si>
  <si>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</si>
  <si>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</si>
  <si>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</si>
  <si>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</si>
  <si>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</si>
  <si>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</si>
  <si>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</si>
  <si>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</si>
  <si>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</si>
  <si>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</si>
  <si>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</si>
  <si>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</si>
  <si>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</si>
  <si>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</si>
  <si>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</si>
  <si>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</si>
  <si>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</si>
  <si>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</si>
  <si>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</si>
  <si>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</si>
  <si>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</si>
  <si>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</si>
  <si>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</si>
  <si>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</si>
  <si>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</si>
  <si>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</si>
  <si>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</si>
  <si>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</si>
  <si>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</si>
  <si>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</si>
  <si>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</si>
  <si>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</si>
  <si>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</si>
  <si>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</si>
  <si>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</si>
  <si>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</si>
  <si>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</si>
  <si>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</si>
  <si>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</si>
  <si>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</si>
  <si>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</si>
  <si>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</si>
  <si>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</si>
  <si>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</si>
  <si>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</si>
  <si>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</si>
  <si>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</si>
  <si>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</si>
  <si>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</si>
  <si>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</si>
  <si>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</si>
  <si>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</si>
  <si>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</si>
  <si>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</si>
  <si>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</si>
  <si>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</si>
  <si>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</si>
  <si>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</si>
  <si>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</si>
  <si>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</si>
  <si>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</si>
  <si>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</si>
  <si>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</si>
  <si>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</si>
  <si>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</si>
  <si>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</si>
  <si>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</si>
  <si>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</si>
  <si>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</si>
  <si>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</si>
  <si>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</si>
  <si>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</si>
  <si>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</si>
  <si>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</si>
  <si>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</si>
  <si>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</si>
  <si>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</si>
  <si>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</si>
  <si>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</si>
  <si>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</si>
  <si>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</si>
  <si>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</si>
  <si>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</si>
  <si>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</si>
  <si>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</si>
  <si>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</si>
  <si>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</si>
  <si>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</si>
  <si>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</si>
  <si>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</si>
  <si>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</si>
  <si>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</si>
  <si>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</si>
  <si>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</si>
  <si>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</si>
  <si>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</si>
  <si>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</si>
  <si>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</si>
  <si>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</si>
  <si>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</si>
  <si>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</si>
  <si>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</si>
  <si>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</si>
  <si>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</si>
  <si>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</si>
  <si>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</si>
  <si>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</si>
  <si>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</si>
  <si>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</si>
  <si>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</si>
  <si>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</si>
  <si>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</si>
  <si>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</si>
  <si>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</si>
  <si>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</si>
  <si>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</si>
  <si>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</si>
  <si>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</si>
  <si>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</si>
  <si>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</si>
  <si>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</si>
  <si>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</si>
  <si>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</si>
  <si>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</si>
  <si>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</si>
  <si>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</si>
  <si>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</si>
  <si>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</si>
  <si>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</si>
  <si>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</si>
  <si>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</si>
  <si>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</si>
  <si>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</si>
  <si>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</si>
  <si>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</si>
  <si>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</si>
  <si>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</si>
  <si>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</si>
  <si>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</si>
  <si>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</si>
  <si>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</si>
  <si>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</si>
  <si>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</si>
  <si>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</si>
  <si>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</si>
  <si>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</si>
  <si>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</si>
  <si>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</si>
  <si>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</si>
  <si>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</si>
  <si>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</si>
  <si>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</si>
  <si>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</si>
  <si>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</si>
  <si>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</si>
  <si>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</si>
  <si>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</si>
  <si>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</si>
  <si>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</si>
  <si>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</si>
  <si>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</si>
  <si>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</si>
  <si>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</si>
  <si>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</si>
  <si>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</si>
  <si>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</si>
  <si>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</si>
  <si>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</si>
  <si>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</si>
  <si>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</si>
  <si>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</si>
  <si>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</si>
  <si>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</si>
  <si>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</si>
  <si>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</si>
  <si>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</si>
  <si>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</si>
  <si>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</si>
  <si>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</si>
  <si>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</si>
  <si>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</si>
  <si>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</si>
  <si>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</si>
  <si>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</si>
  <si>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</si>
  <si>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</si>
  <si>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</si>
  <si>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</si>
  <si>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</si>
  <si>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</si>
  <si>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</si>
  <si>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</si>
  <si>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</si>
  <si>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</si>
  <si>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</si>
  <si>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</si>
  <si>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</si>
  <si>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</si>
  <si>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</si>
  <si>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</si>
  <si>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</si>
  <si>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</si>
  <si>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</si>
  <si>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</si>
  <si>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</si>
  <si>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</si>
  <si>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</si>
  <si>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</si>
  <si>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</si>
  <si>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</si>
  <si>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</si>
  <si>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</si>
  <si>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</si>
  <si>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</si>
  <si>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</si>
  <si>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</si>
  <si>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</si>
  <si>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</si>
  <si>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</si>
  <si>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</si>
  <si>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</si>
  <si>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</si>
  <si>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</si>
  <si>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</si>
  <si>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</si>
  <si>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</si>
  <si>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</si>
  <si>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</si>
  <si>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</si>
  <si>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</si>
  <si>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</si>
  <si>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</si>
  <si>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</si>
  <si>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</si>
  <si>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</si>
  <si>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</si>
  <si>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</si>
  <si>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</si>
  <si>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</si>
  <si>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</si>
  <si>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</si>
  <si>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</si>
  <si>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</si>
  <si>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</si>
  <si>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</si>
  <si>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</si>
  <si>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</si>
  <si>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</si>
  <si>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</si>
  <si>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</si>
  <si>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</si>
  <si>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</si>
  <si>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</si>
  <si>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</si>
  <si>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</si>
  <si>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</si>
  <si>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</si>
  <si>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</si>
  <si>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</si>
  <si>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</si>
  <si>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</si>
  <si>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</si>
  <si>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</si>
  <si>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</si>
  <si>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</si>
  <si>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</si>
  <si>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</si>
  <si>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</si>
  <si>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</si>
  <si>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</si>
  <si>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</si>
  <si>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</si>
  <si>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</si>
  <si>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</si>
  <si>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</si>
  <si>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</si>
  <si>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</si>
  <si>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</si>
  <si>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</si>
  <si>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</si>
  <si>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</si>
  <si>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</si>
  <si>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</si>
  <si>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</si>
  <si>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</si>
  <si>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</si>
  <si>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</si>
  <si>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</si>
  <si>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</si>
  <si>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</si>
  <si>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</si>
  <si>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</si>
  <si>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</si>
  <si>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</si>
  <si>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</si>
  <si>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</si>
  <si>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</si>
  <si>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</si>
  <si>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</si>
  <si>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</si>
  <si>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</si>
  <si>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</si>
  <si>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</si>
  <si>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</si>
  <si>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</si>
  <si>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</si>
  <si>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</si>
  <si>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</si>
  <si>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</si>
  <si>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</si>
  <si>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</si>
  <si>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</si>
  <si>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</si>
  <si>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</si>
  <si>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</si>
  <si>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</si>
  <si>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</si>
  <si>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</si>
  <si>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</si>
  <si>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</si>
  <si>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</si>
  <si>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</si>
  <si>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</si>
  <si>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</si>
  <si>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</si>
  <si>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</si>
  <si>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</si>
  <si>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</si>
  <si>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</si>
  <si>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</si>
  <si>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</si>
  <si>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</si>
  <si>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</si>
  <si>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</si>
  <si>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</si>
  <si>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</si>
  <si>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</si>
  <si>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</si>
  <si>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</si>
  <si>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</si>
  <si>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</si>
  <si>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</si>
  <si>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</si>
  <si>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</si>
  <si>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</si>
  <si>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</si>
  <si>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</si>
  <si>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</si>
  <si>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</si>
  <si>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</si>
  <si>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</si>
  <si>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</si>
  <si>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</si>
  <si>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</si>
  <si>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</si>
  <si>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</si>
  <si>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</si>
  <si>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</si>
  <si>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</si>
  <si>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</si>
  <si>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</si>
  <si>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</si>
  <si>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</si>
  <si>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</si>
  <si>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</si>
  <si>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</si>
  <si>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</si>
  <si>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</si>
  <si>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</si>
  <si>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</si>
  <si>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</si>
  <si>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</si>
  <si>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</si>
  <si>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</si>
  <si>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</si>
  <si>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</si>
  <si>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</si>
  <si>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</si>
  <si>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</si>
  <si>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</si>
  <si>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</si>
  <si>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</si>
  <si>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</si>
  <si>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</si>
  <si>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</si>
  <si>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</si>
  <si>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</si>
  <si>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</si>
  <si>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</si>
  <si>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</si>
  <si>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</si>
  <si>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</si>
  <si>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</si>
  <si>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</si>
  <si>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</si>
  <si>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</si>
  <si>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</si>
  <si>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</si>
  <si>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</si>
  <si>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</si>
  <si>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</si>
  <si>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</si>
  <si>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</si>
  <si>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</si>
  <si>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</si>
  <si>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</si>
  <si>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</si>
  <si>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</si>
  <si>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</si>
  <si>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</si>
  <si>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</si>
  <si>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</si>
  <si>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</si>
  <si>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</si>
  <si>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</si>
  <si>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</si>
  <si>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</si>
  <si>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</si>
  <si>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</si>
  <si>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</si>
  <si>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</si>
  <si>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</si>
  <si>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</si>
  <si>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</si>
  <si>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</si>
  <si>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</si>
  <si>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</si>
  <si>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</si>
  <si>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</si>
  <si>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</si>
  <si>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</si>
  <si>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</si>
  <si>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</si>
  <si>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</si>
  <si>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</si>
  <si>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</si>
  <si>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</si>
  <si>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</si>
  <si>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</si>
  <si>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</si>
  <si>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</si>
  <si>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</si>
  <si>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</si>
  <si>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</si>
  <si>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</si>
  <si>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</si>
  <si>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</si>
  <si>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</si>
  <si>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</si>
  <si>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</si>
  <si>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</si>
  <si>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</si>
  <si>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</si>
  <si>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</si>
  <si>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</si>
  <si>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</si>
  <si>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</si>
  <si>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</si>
  <si>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</si>
  <si>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</si>
  <si>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</si>
  <si>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</si>
  <si>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</si>
  <si>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</si>
  <si>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</si>
  <si>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</si>
  <si>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</si>
  <si>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</si>
  <si>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</si>
  <si>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</si>
  <si>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</si>
  <si>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</si>
  <si>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</si>
  <si>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</si>
  <si>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</si>
  <si>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</si>
  <si>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</si>
  <si>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</si>
  <si>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</si>
  <si>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</si>
  <si>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</si>
  <si>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</si>
  <si>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</si>
  <si>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</si>
  <si>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</si>
  <si>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</si>
  <si>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</si>
  <si>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</si>
  <si>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</si>
  <si>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</si>
  <si>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</si>
  <si>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</si>
  <si>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</si>
  <si>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</si>
  <si>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</si>
  <si>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</si>
  <si>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</si>
  <si>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</si>
  <si>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</si>
  <si>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</si>
  <si>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</si>
  <si>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</si>
  <si>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</si>
  <si>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</si>
  <si>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</si>
  <si>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</si>
  <si>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</si>
  <si>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</si>
  <si>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</si>
  <si>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</si>
  <si>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</si>
  <si>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</si>
  <si>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</si>
  <si>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</si>
  <si>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</si>
  <si>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</si>
  <si>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</si>
  <si>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</si>
  <si>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</si>
  <si>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</si>
  <si>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</si>
  <si>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</si>
  <si>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</si>
  <si>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</si>
  <si>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</si>
  <si>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</si>
  <si>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</si>
  <si>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</si>
  <si>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</si>
  <si>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</si>
  <si>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</si>
  <si>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</si>
  <si>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</si>
  <si>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</si>
  <si>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</si>
  <si>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</si>
  <si>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</si>
  <si>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</si>
  <si>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</si>
  <si>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</si>
  <si>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</si>
  <si>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</si>
  <si>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</si>
  <si>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</si>
  <si>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</si>
  <si>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</si>
  <si>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</si>
  <si>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</si>
  <si>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</si>
  <si>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</si>
  <si>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</si>
  <si>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</si>
  <si>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</si>
  <si>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</si>
  <si>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</si>
  <si>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</si>
  <si>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</si>
  <si>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</si>
  <si>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</si>
  <si>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</si>
  <si>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</si>
  <si>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</si>
  <si>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</si>
  <si>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</si>
  <si>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</si>
  <si>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</si>
  <si>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</si>
  <si>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</si>
  <si>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</si>
  <si>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</si>
  <si>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</si>
  <si>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</si>
  <si>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</si>
  <si>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</si>
  <si>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</si>
  <si>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</si>
  <si>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</si>
  <si>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</si>
  <si>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</si>
  <si>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</si>
  <si>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</si>
  <si>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</si>
  <si>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</si>
  <si>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</si>
  <si>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</si>
  <si>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</si>
  <si>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</si>
  <si>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</si>
  <si>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</si>
  <si>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</si>
  <si>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</si>
  <si>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</si>
  <si>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</si>
  <si>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</si>
  <si>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</si>
  <si>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</si>
  <si>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</si>
  <si>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</si>
  <si>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</si>
  <si>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</si>
  <si>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</si>
  <si>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</si>
  <si>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</si>
  <si>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</si>
  <si>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</si>
  <si>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</si>
  <si>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</si>
  <si>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</si>
  <si>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</si>
  <si>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</si>
  <si>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</si>
  <si>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</si>
  <si>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</si>
  <si>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</si>
  <si>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</si>
  <si>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</si>
  <si>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</si>
  <si>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</si>
  <si>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</si>
  <si>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</si>
  <si>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</si>
  <si>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</si>
  <si>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</si>
  <si>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</si>
  <si>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</si>
  <si>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</si>
  <si>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</si>
  <si>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</si>
  <si>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</si>
  <si>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</si>
  <si>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</si>
  <si>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</si>
  <si>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</si>
  <si>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</si>
  <si>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</si>
  <si>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</si>
  <si>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</si>
  <si>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</si>
  <si>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</si>
  <si>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</si>
  <si>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</si>
  <si>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</si>
  <si>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</si>
  <si>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</si>
  <si>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</si>
  <si>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</si>
  <si>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</si>
  <si>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</si>
  <si>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</si>
  <si>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</si>
  <si>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</si>
  <si>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</si>
  <si>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</si>
  <si>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</si>
  <si>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</si>
  <si>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</si>
  <si>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</si>
  <si>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</si>
  <si>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</si>
  <si>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</si>
  <si>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</si>
  <si>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</si>
  <si>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</si>
  <si>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</si>
  <si>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</si>
  <si>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</si>
  <si>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</si>
  <si>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</si>
  <si>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</si>
  <si>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</si>
  <si>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</si>
  <si>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</si>
  <si>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</si>
  <si>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</si>
  <si>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</si>
  <si>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</si>
  <si>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</si>
  <si>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</si>
  <si>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</si>
  <si>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</si>
  <si>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</si>
  <si>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</si>
  <si>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</si>
  <si>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</si>
  <si>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</si>
  <si>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</si>
  <si>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</si>
  <si>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</si>
  <si>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</si>
  <si>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</si>
  <si>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</si>
  <si>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</si>
  <si>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</si>
  <si>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</si>
  <si>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</si>
  <si>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</si>
  <si>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</si>
  <si>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</si>
  <si>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</si>
  <si>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</si>
  <si>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</si>
  <si>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</si>
  <si>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</si>
  <si>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</si>
  <si>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</si>
  <si>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</si>
  <si>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</si>
  <si>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</si>
  <si>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</si>
  <si>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</si>
  <si>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</si>
  <si>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</si>
  <si>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</si>
  <si>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</si>
  <si>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</si>
  <si>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</si>
  <si>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</si>
  <si>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</si>
  <si>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</si>
  <si>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</si>
  <si>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</si>
  <si>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</si>
  <si>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</si>
  <si>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</si>
  <si>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</si>
  <si>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</si>
  <si>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</si>
  <si>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</si>
  <si>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</si>
  <si>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</si>
  <si>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</si>
  <si>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</si>
  <si>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</si>
  <si>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</si>
  <si>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</si>
  <si>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</si>
  <si>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</si>
  <si>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</si>
  <si>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</si>
  <si>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</si>
  <si>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</si>
  <si>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</si>
  <si>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</si>
  <si>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</si>
  <si>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</si>
  <si>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</si>
  <si>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</si>
  <si>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</si>
  <si>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</si>
  <si>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</si>
  <si>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</si>
  <si>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</si>
  <si>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</si>
  <si>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</si>
  <si>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</si>
  <si>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</si>
  <si>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</si>
  <si>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</si>
  <si>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</si>
  <si>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</si>
  <si>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</si>
  <si>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</si>
  <si>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</si>
  <si>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</si>
  <si>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</si>
  <si>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</si>
  <si>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</si>
  <si>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</si>
  <si>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</si>
  <si>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</si>
  <si>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</si>
  <si>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</si>
  <si>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</si>
  <si>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</si>
  <si>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</si>
  <si>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</si>
  <si>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</si>
  <si>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</si>
  <si>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</si>
  <si>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</si>
  <si>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</si>
  <si>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</si>
  <si>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</si>
  <si>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</si>
  <si>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</si>
  <si>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</si>
  <si>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</si>
  <si>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</si>
  <si>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</si>
  <si>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</si>
  <si>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</si>
  <si>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</si>
  <si>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</si>
  <si>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</si>
  <si>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</si>
  <si>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</si>
  <si>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</si>
  <si>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</si>
  <si>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</si>
  <si>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</si>
  <si>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</si>
  <si>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</si>
  <si>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</si>
  <si>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</si>
  <si>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</si>
  <si>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</si>
  <si>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</si>
  <si>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</si>
  <si>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</si>
  <si>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</si>
  <si>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</si>
  <si>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</si>
  <si>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</si>
  <si>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</si>
  <si>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</si>
  <si>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</si>
  <si>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</si>
  <si>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</si>
  <si>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</si>
  <si>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</si>
  <si>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</si>
  <si>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</si>
  <si>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</si>
  <si>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</si>
  <si>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</si>
  <si>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</si>
  <si>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</si>
  <si>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</si>
  <si>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</si>
  <si>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</si>
  <si>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</si>
  <si>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</si>
  <si>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</si>
  <si>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</si>
  <si>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</si>
  <si>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</si>
  <si>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</si>
  <si>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</si>
  <si>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</si>
  <si>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</si>
  <si>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</si>
  <si>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</si>
  <si>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</si>
  <si>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</si>
  <si>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</si>
  <si>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</si>
  <si>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</si>
  <si>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</si>
  <si>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</si>
  <si>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</si>
  <si>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</si>
  <si>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</si>
  <si>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</si>
  <si>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</si>
  <si>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</si>
  <si>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</si>
  <si>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</si>
  <si>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</si>
  <si>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</si>
  <si>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</si>
  <si>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</si>
  <si>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</si>
  <si>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</si>
  <si>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</si>
  <si>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</si>
  <si>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</si>
  <si>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</si>
  <si>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</si>
  <si>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</si>
  <si>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</si>
  <si>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</si>
  <si>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</si>
  <si>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</si>
  <si>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</si>
  <si>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</si>
  <si>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</si>
  <si>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</si>
  <si>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</si>
  <si>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</si>
  <si>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</si>
  <si>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</si>
  <si>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</si>
  <si>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</si>
  <si>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</si>
  <si>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</si>
  <si>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</si>
  <si>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</si>
  <si>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</si>
  <si>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</si>
  <si>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</si>
  <si>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</si>
  <si>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</si>
  <si>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</si>
  <si>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</si>
  <si>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</si>
  <si>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</si>
  <si>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</si>
  <si>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</si>
  <si>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</si>
  <si>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</si>
  <si>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</si>
  <si>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</si>
  <si>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</si>
  <si>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</si>
  <si>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</si>
  <si>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</si>
  <si>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</si>
  <si>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</si>
  <si>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</si>
  <si>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</si>
  <si>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</si>
  <si>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</si>
  <si>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</si>
  <si>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</si>
  <si>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</si>
  <si>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</si>
  <si>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</si>
  <si>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</si>
  <si>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</si>
  <si>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</si>
  <si>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</si>
  <si>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</si>
  <si>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</si>
  <si>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</si>
  <si>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</si>
  <si>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</si>
  <si>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</si>
  <si>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</si>
  <si>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</si>
  <si>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</si>
  <si>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</si>
  <si>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</si>
  <si>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</si>
  <si>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</si>
  <si>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</si>
  <si>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</si>
  <si>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</si>
  <si>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</si>
  <si>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</si>
  <si>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</si>
  <si>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</si>
  <si>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</si>
  <si>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</si>
  <si>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</si>
  <si>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</si>
  <si>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</si>
  <si>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</si>
  <si>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</si>
  <si>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</si>
  <si>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</si>
  <si>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</si>
  <si>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</si>
  <si>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</si>
  <si>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</si>
  <si>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</si>
  <si>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</si>
  <si>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</si>
  <si>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</si>
  <si>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</si>
  <si>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</si>
  <si>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</si>
  <si>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</si>
  <si>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</si>
  <si>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</si>
  <si>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</si>
  <si>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</si>
  <si>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</si>
  <si>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</si>
  <si>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</si>
  <si>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</si>
  <si>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</si>
  <si>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</si>
  <si>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</si>
  <si>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</si>
  <si>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</si>
  <si>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</si>
  <si>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</si>
  <si>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</si>
  <si>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</si>
  <si>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</si>
  <si>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</si>
  <si>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</si>
  <si>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</si>
  <si>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</si>
  <si>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</si>
  <si>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</si>
  <si>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</si>
  <si>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</si>
  <si>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</si>
  <si>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</si>
  <si>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</si>
  <si>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</si>
  <si>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</si>
  <si>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</si>
  <si>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</si>
  <si>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</si>
  <si>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</si>
  <si>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</si>
  <si>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</si>
  <si>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</si>
  <si>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</si>
  <si>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</si>
  <si>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</si>
  <si>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</si>
  <si>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</si>
  <si>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</si>
  <si>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</si>
  <si>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</si>
  <si>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</si>
  <si>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</si>
  <si>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</si>
  <si>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</si>
  <si>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</si>
  <si>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</si>
  <si>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</si>
  <si>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</si>
  <si>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</si>
  <si>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</si>
  <si>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</si>
  <si>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</si>
  <si>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</si>
  <si>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</si>
  <si>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</si>
  <si>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</si>
  <si>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</si>
  <si>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</si>
  <si>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</si>
  <si>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</si>
  <si>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</si>
  <si>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</si>
  <si>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</si>
  <si>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</si>
  <si>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</si>
  <si>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</si>
  <si>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</si>
  <si>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</si>
  <si>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</si>
  <si>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</si>
  <si>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</si>
  <si>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</si>
  <si>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</si>
  <si>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</si>
  <si>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</si>
  <si>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</si>
  <si>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</si>
  <si>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</si>
  <si>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</si>
  <si>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</si>
  <si>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</si>
  <si>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</si>
  <si>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</si>
  <si>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</si>
  <si>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</si>
  <si>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</si>
  <si>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</si>
  <si>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</si>
  <si>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</si>
  <si>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</si>
  <si>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</si>
  <si>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</si>
  <si>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</si>
  <si>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</si>
  <si>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</si>
  <si>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</si>
  <si>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</si>
  <si>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</si>
  <si>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</si>
  <si>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</si>
  <si>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</si>
  <si>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</si>
  <si>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</si>
  <si>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</si>
  <si>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</si>
  <si>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</si>
  <si>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</si>
  <si>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</si>
  <si>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</si>
  <si>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</si>
  <si>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</si>
  <si>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</si>
  <si>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</si>
  <si>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</si>
  <si>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</si>
  <si>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</si>
  <si>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</si>
  <si>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</si>
  <si>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</si>
  <si>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</si>
  <si>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</si>
  <si>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</si>
  <si>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</si>
  <si>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</si>
  <si>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</si>
  <si>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</si>
  <si>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</si>
  <si>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</si>
  <si>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</si>
  <si>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</si>
  <si>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</si>
  <si>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</si>
  <si>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</si>
  <si>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</si>
  <si>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</si>
  <si>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</si>
  <si>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</si>
  <si>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</si>
  <si>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</si>
  <si>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</si>
  <si>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</si>
  <si>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</si>
  <si>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</si>
  <si>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</si>
  <si>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</si>
  <si>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</si>
  <si>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</si>
  <si>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</si>
  <si>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</si>
  <si>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</si>
  <si>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</si>
  <si>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</si>
  <si>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</si>
  <si>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</si>
  <si>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</si>
  <si>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</si>
  <si>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</si>
  <si>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</si>
  <si>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</si>
  <si>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</si>
  <si>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</si>
  <si>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</si>
  <si>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</si>
  <si>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</si>
  <si>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</si>
  <si>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</si>
  <si>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</si>
  <si>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</si>
  <si>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</si>
  <si>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</si>
  <si>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</si>
  <si>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</si>
  <si>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</si>
  <si>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</si>
  <si>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</si>
  <si>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</si>
  <si>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</si>
  <si>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</si>
  <si>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</si>
  <si>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</si>
  <si>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</si>
  <si>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</si>
  <si>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</si>
  <si>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</si>
  <si>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</si>
  <si>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</si>
  <si>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</si>
  <si>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</si>
  <si>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</si>
  <si>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</si>
  <si>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</si>
  <si>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</si>
  <si>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</si>
  <si>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</si>
  <si>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</si>
  <si>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</si>
  <si>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</si>
  <si>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</si>
  <si>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</si>
  <si>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</si>
  <si>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</si>
  <si>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</si>
  <si>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</si>
  <si>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</si>
  <si>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</si>
  <si>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</si>
  <si>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</si>
  <si>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</si>
  <si>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</si>
  <si>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</si>
  <si>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</si>
  <si>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</si>
  <si>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</si>
  <si>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</si>
  <si>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</si>
  <si>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</si>
  <si>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</si>
  <si>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</si>
  <si>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</si>
  <si>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</si>
  <si>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</si>
  <si>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</si>
  <si>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</si>
  <si>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</si>
  <si>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</si>
  <si>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</si>
  <si>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</si>
  <si>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</si>
  <si>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</si>
  <si>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</si>
  <si>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</si>
  <si>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</si>
  <si>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</si>
  <si>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</si>
  <si>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</si>
  <si>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</si>
  <si>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</si>
  <si>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</si>
  <si>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</si>
  <si>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</si>
  <si>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</si>
  <si>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</si>
  <si>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</si>
  <si>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</si>
  <si>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</si>
  <si>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</si>
  <si>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</si>
  <si>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</si>
  <si>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</si>
  <si>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</si>
  <si>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</si>
  <si>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</si>
  <si>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</si>
  <si>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</si>
  <si>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</si>
  <si>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</si>
  <si>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</si>
  <si>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</si>
  <si>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</si>
  <si>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</si>
  <si>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</si>
  <si>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</si>
  <si>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</si>
  <si>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</si>
  <si>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</si>
  <si>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</si>
  <si>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</si>
  <si>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</si>
  <si>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</si>
  <si>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</si>
  <si>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</si>
  <si>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</si>
  <si>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</si>
  <si>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</si>
  <si>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</si>
  <si>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</si>
  <si>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</si>
  <si>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</si>
  <si>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</si>
  <si>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</si>
  <si>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</si>
  <si>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</si>
  <si>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</si>
  <si>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</si>
  <si>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</si>
  <si>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</si>
  <si>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</si>
  <si>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</si>
  <si>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</si>
  <si>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</si>
  <si>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</si>
  <si>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</si>
  <si>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</si>
  <si>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</si>
  <si>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</si>
  <si>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</si>
  <si>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</si>
  <si>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</si>
  <si>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</si>
  <si>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</si>
  <si>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</si>
  <si>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</si>
  <si>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</si>
  <si>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</si>
  <si>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</si>
  <si>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</si>
  <si>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</si>
  <si>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</si>
  <si>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</si>
  <si>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</si>
  <si>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</si>
  <si>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</si>
  <si>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</si>
  <si>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</si>
  <si>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</si>
  <si>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</si>
  <si>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</si>
  <si>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</si>
  <si>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</si>
  <si>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</si>
  <si>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</si>
  <si>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</si>
  <si>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</si>
  <si>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</si>
  <si>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</si>
  <si>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</si>
  <si>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</si>
  <si>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</si>
  <si>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</si>
  <si>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</si>
  <si>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</si>
  <si>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</si>
  <si>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</si>
  <si>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</si>
  <si>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</si>
  <si>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</si>
  <si>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</si>
  <si>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</si>
  <si>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</si>
  <si>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</si>
  <si>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</si>
  <si>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</si>
  <si>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</si>
  <si>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</si>
  <si>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</si>
  <si>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</si>
  <si>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</si>
  <si>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</si>
  <si>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</si>
  <si>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</si>
  <si>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</si>
  <si>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</si>
  <si>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</si>
  <si>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</si>
  <si>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</si>
  <si>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</si>
  <si>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</si>
  <si>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</si>
  <si>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</si>
  <si>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</si>
  <si>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</si>
  <si>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</si>
  <si>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</si>
  <si>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</si>
  <si>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</si>
  <si>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</si>
  <si>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</si>
  <si>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</si>
  <si>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</si>
  <si>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</si>
  <si>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</si>
  <si>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</si>
  <si>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</si>
  <si>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</si>
  <si>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</si>
  <si>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</si>
  <si>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</si>
  <si>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</si>
  <si>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</si>
  <si>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</si>
  <si>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</si>
  <si>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</si>
  <si>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</si>
  <si>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</si>
  <si>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</si>
  <si>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</si>
  <si>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</si>
  <si>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</si>
  <si>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</si>
  <si>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</si>
  <si>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</si>
  <si>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</si>
  <si>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</si>
  <si>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</si>
  <si>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</si>
  <si>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</si>
  <si>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</si>
  <si>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</si>
  <si>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</si>
  <si>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</si>
  <si>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</si>
  <si>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</si>
  <si>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</si>
  <si>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</si>
  <si>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</si>
  <si>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</si>
  <si>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</si>
  <si>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</si>
  <si>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</si>
  <si>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</si>
  <si>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</si>
  <si>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</si>
  <si>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</si>
  <si>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</si>
  <si>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</si>
  <si>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</si>
  <si>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</si>
  <si>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</si>
  <si>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</si>
  <si>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</si>
  <si>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</si>
  <si>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</si>
  <si>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</si>
  <si>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</si>
  <si>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</si>
  <si>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</si>
  <si>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</si>
  <si>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</si>
  <si>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</si>
  <si>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</si>
  <si>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</si>
  <si>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</si>
  <si>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</si>
  <si>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</si>
  <si>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</si>
  <si>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</si>
  <si>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</si>
  <si>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</si>
  <si>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</si>
  <si>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</si>
  <si>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</si>
  <si>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</si>
  <si>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</si>
  <si>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</si>
  <si>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</si>
  <si>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</si>
  <si>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</si>
  <si>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</si>
  <si>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</si>
  <si>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</si>
  <si>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</si>
  <si>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</si>
  <si>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</si>
  <si>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</si>
  <si>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</si>
  <si>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</si>
  <si>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</si>
  <si>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</si>
  <si>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</si>
  <si>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</si>
  <si>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</si>
  <si>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</si>
  <si>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</si>
  <si>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</si>
  <si>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</si>
  <si>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</si>
  <si>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</si>
  <si>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</si>
  <si>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</si>
  <si>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</si>
  <si>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</si>
  <si>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</si>
  <si>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</si>
  <si>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</si>
  <si>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</si>
  <si>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</si>
  <si>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</si>
  <si>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</si>
  <si>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</si>
  <si>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</si>
  <si>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</si>
  <si>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</si>
  <si>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</si>
  <si>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</si>
  <si>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</si>
  <si>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</si>
  <si>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</si>
  <si>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</si>
  <si>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</si>
  <si>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</si>
  <si>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</si>
  <si>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</si>
  <si>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</si>
  <si>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</si>
  <si>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</si>
  <si>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</si>
  <si>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</si>
  <si>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</si>
  <si>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</si>
  <si>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</si>
  <si>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</si>
  <si>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</si>
  <si>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</si>
  <si>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</si>
  <si>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</si>
  <si>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</si>
  <si>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</si>
  <si>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</si>
  <si>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</si>
  <si>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</si>
  <si>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</si>
  <si>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</si>
  <si>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</si>
  <si>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</si>
  <si>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</si>
  <si>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</si>
  <si>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</si>
  <si>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</si>
  <si>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</si>
  <si>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</si>
  <si>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</si>
  <si>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</si>
  <si>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</si>
  <si>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</si>
  <si>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</si>
  <si>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</si>
  <si>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</si>
  <si>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</si>
  <si>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</si>
  <si>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</si>
  <si>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</si>
  <si>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</si>
  <si>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</si>
  <si>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</si>
  <si>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</si>
  <si>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</si>
  <si>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</si>
  <si>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</si>
  <si>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</si>
  <si>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</si>
  <si>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</si>
  <si>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</si>
  <si>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</si>
  <si>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</si>
  <si>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</si>
  <si>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</si>
  <si>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</si>
  <si>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</si>
  <si>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</si>
  <si>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</si>
  <si>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</si>
  <si>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</si>
  <si>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</si>
  <si>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</si>
  <si>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</si>
  <si>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</si>
  <si>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</si>
  <si>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</si>
  <si>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</si>
  <si>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</si>
  <si>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</si>
  <si>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</si>
  <si>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</si>
  <si>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</si>
  <si>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</si>
  <si>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</si>
  <si>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</si>
  <si>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</si>
  <si>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</si>
  <si>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</si>
  <si>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</si>
  <si>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</si>
  <si>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</si>
  <si>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</si>
  <si>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</si>
  <si>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</si>
  <si>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</si>
  <si>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</si>
  <si>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</si>
  <si>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</si>
  <si>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</si>
  <si>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</si>
  <si>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</si>
  <si>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</si>
  <si>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</si>
  <si>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</si>
  <si>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</si>
  <si>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</si>
  <si>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</si>
  <si>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</si>
  <si>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</si>
  <si>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</si>
  <si>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</si>
  <si>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</si>
  <si>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</si>
  <si>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</si>
  <si>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</si>
  <si>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</si>
  <si>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</si>
  <si>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</si>
  <si>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</si>
  <si>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</si>
  <si>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</si>
  <si>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</si>
  <si>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</si>
  <si>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</si>
  <si>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</si>
  <si>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</si>
  <si>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</si>
  <si>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</si>
  <si>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</si>
  <si>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</si>
  <si>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</si>
  <si>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</si>
  <si>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</si>
  <si>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</si>
  <si>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</si>
  <si>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</si>
  <si>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</si>
  <si>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</si>
  <si>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</si>
  <si>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</si>
  <si>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</si>
  <si>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</si>
  <si>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</si>
  <si>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</si>
  <si>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</si>
  <si>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</si>
  <si>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</si>
  <si>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</si>
  <si>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</si>
  <si>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</si>
  <si>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</si>
  <si>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</si>
  <si>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</si>
  <si>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</si>
  <si>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</si>
  <si>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</si>
  <si>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</si>
  <si>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</si>
  <si>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</si>
  <si>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</si>
  <si>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</si>
  <si>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</si>
  <si>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</si>
  <si>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</si>
  <si>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</si>
  <si>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</si>
  <si>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</si>
  <si>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</si>
  <si>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</si>
  <si>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</si>
  <si>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</si>
  <si>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</si>
  <si>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</si>
  <si>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</si>
  <si>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</si>
  <si>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</si>
  <si>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</si>
  <si>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</si>
  <si>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</si>
  <si>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</si>
  <si>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</si>
  <si>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</si>
  <si>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</si>
  <si>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</si>
  <si>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</si>
  <si>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</si>
  <si>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</si>
  <si>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</si>
  <si>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</si>
  <si>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</si>
  <si>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</si>
  <si>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</si>
  <si>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</si>
  <si>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</si>
  <si>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</si>
  <si>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</si>
  <si>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</si>
  <si>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</si>
  <si>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</si>
  <si>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</si>
  <si>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</si>
  <si>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</si>
  <si>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</si>
  <si>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</si>
  <si>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</si>
  <si>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</si>
  <si>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</si>
  <si>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</si>
  <si>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</si>
  <si>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</si>
  <si>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</si>
  <si>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</si>
  <si>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</si>
  <si>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</si>
  <si>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</si>
  <si>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</si>
  <si>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</si>
  <si>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</si>
  <si>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</si>
  <si>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</si>
  <si>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</si>
  <si>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</si>
  <si>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</si>
  <si>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</si>
  <si>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</si>
  <si>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</si>
  <si>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</si>
  <si>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</si>
  <si>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</si>
  <si>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</si>
  <si>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</si>
  <si>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</si>
  <si>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</si>
  <si>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</si>
  <si>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</si>
  <si>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</si>
  <si>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</si>
  <si>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</si>
  <si>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</si>
  <si>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</si>
  <si>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</si>
  <si>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</si>
  <si>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</si>
  <si>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</si>
  <si>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</si>
  <si>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</si>
  <si>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</si>
  <si>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</si>
  <si>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</si>
  <si>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</si>
  <si>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</si>
  <si>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</si>
  <si>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</si>
  <si>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</si>
  <si>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</si>
  <si>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</si>
  <si>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</si>
  <si>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</si>
  <si>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</si>
  <si>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</si>
  <si>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</si>
  <si>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</si>
  <si>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</si>
  <si>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</si>
  <si>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</si>
  <si>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</si>
  <si>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</si>
  <si>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</si>
  <si>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</si>
  <si>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</si>
  <si>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</si>
  <si>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</si>
  <si>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</si>
  <si>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</si>
  <si>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</si>
  <si>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</si>
  <si>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</si>
  <si>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</si>
  <si>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</si>
  <si>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</si>
  <si>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</si>
  <si>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</si>
  <si>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</si>
  <si>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</si>
  <si>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</si>
  <si>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</si>
  <si>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</si>
  <si>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</si>
  <si>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</si>
  <si>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</si>
  <si>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</si>
  <si>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</si>
  <si>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</si>
  <si>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</si>
  <si>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</si>
  <si>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</si>
  <si>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</si>
  <si>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</si>
  <si>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</si>
  <si>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</si>
  <si>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</si>
  <si>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</si>
  <si>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</si>
  <si>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</si>
  <si>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</si>
  <si>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</si>
  <si>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</si>
  <si>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</si>
  <si>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</si>
  <si>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</si>
  <si>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</si>
  <si>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</si>
  <si>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</si>
  <si>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</si>
  <si>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</si>
  <si>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</si>
  <si>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</si>
  <si>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</si>
  <si>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</si>
  <si>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</si>
  <si>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</si>
  <si>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</si>
  <si>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</si>
  <si>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</si>
  <si>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</si>
  <si>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</si>
  <si>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</si>
  <si>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</si>
  <si>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</si>
  <si>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</si>
  <si>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</si>
  <si>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</si>
  <si>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</si>
  <si>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</si>
  <si>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</si>
  <si>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</si>
  <si>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</si>
  <si>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</si>
  <si>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</si>
  <si>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</si>
  <si>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</si>
  <si>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</si>
  <si>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</si>
  <si>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</si>
  <si>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</si>
  <si>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</si>
  <si>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</si>
  <si>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</si>
  <si>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</si>
  <si>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</si>
  <si>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</si>
  <si>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</si>
  <si>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</si>
  <si>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</si>
  <si>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</si>
  <si>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</si>
  <si>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</si>
  <si>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</si>
  <si>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</si>
  <si>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</si>
  <si>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</si>
  <si>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</si>
  <si>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</si>
  <si>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</si>
  <si>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</si>
  <si>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</si>
  <si>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</si>
  <si>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</si>
  <si>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</si>
  <si>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</si>
  <si>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</si>
  <si>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</si>
  <si>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</si>
  <si>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</si>
  <si>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</si>
  <si>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</si>
  <si>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</si>
  <si>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</si>
  <si>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</si>
  <si>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</si>
  <si>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</si>
  <si>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</si>
  <si>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</si>
  <si>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</si>
  <si>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</si>
  <si>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</si>
  <si>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</si>
  <si>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</si>
  <si>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</si>
  <si>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</si>
  <si>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</si>
  <si>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</si>
  <si>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</si>
  <si>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</si>
  <si>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</si>
  <si>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</si>
  <si>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</si>
  <si>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</si>
  <si>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</si>
  <si>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</si>
  <si>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</si>
  <si>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</si>
  <si>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</si>
  <si>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</si>
  <si>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</si>
  <si>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</si>
  <si>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</si>
  <si>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</si>
  <si>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</si>
  <si>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</si>
  <si>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</si>
  <si>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</si>
  <si>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</si>
  <si>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</si>
  <si>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</si>
  <si>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</si>
  <si>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</si>
  <si>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</si>
  <si>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</si>
  <si>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</si>
  <si>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</si>
  <si>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</si>
  <si>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</si>
  <si>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</si>
  <si>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</si>
  <si>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</si>
  <si>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</si>
  <si>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</si>
  <si>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</si>
  <si>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</si>
  <si>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</si>
  <si>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</si>
  <si>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</si>
  <si>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</si>
  <si>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</si>
  <si>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</si>
  <si>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</si>
  <si>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</si>
  <si>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</si>
  <si>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</si>
  <si>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</si>
  <si>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</si>
  <si>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</si>
  <si>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</si>
  <si>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</si>
  <si>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</si>
  <si>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</si>
  <si>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</si>
  <si>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</si>
  <si>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</si>
  <si>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</si>
  <si>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</si>
  <si>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</si>
  <si>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</si>
  <si>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</si>
  <si>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</si>
  <si>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</si>
  <si>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</si>
  <si>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</si>
  <si>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</si>
  <si>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</si>
  <si>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</si>
  <si>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</si>
  <si>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</si>
  <si>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</si>
  <si>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</si>
  <si>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</si>
  <si>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</si>
  <si>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</si>
  <si>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</si>
  <si>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</si>
  <si>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</si>
  <si>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</si>
  <si>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</si>
  <si>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</si>
  <si>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</si>
  <si>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</si>
  <si>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</si>
  <si>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</si>
  <si>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</si>
  <si>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</si>
  <si>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</si>
  <si>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</si>
  <si>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</si>
  <si>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</si>
  <si>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</si>
  <si>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</si>
  <si>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</si>
  <si>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</si>
  <si>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</si>
  <si>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</si>
  <si>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</si>
  <si>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</si>
  <si>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</si>
  <si>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</si>
  <si>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</si>
  <si>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</si>
  <si>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</si>
  <si>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</si>
  <si>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</si>
  <si>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</si>
  <si>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</si>
  <si>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</si>
  <si>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</si>
  <si>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</si>
  <si>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</si>
  <si>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</si>
  <si>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</si>
  <si>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</si>
  <si>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</si>
  <si>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</si>
  <si>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</si>
  <si>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</si>
  <si>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</si>
  <si>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</si>
  <si>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</si>
  <si>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</si>
  <si>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</si>
  <si>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</si>
  <si>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</si>
  <si>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</si>
  <si>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</si>
  <si>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</si>
  <si>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</si>
  <si>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</si>
  <si>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</si>
  <si>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</si>
  <si>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</si>
  <si>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</si>
  <si>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</si>
  <si>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</si>
  <si>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</si>
  <si>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</si>
  <si>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</si>
  <si>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</si>
  <si>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</si>
  <si>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</si>
  <si>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</si>
  <si>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</si>
  <si>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</si>
  <si>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</si>
  <si>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</si>
  <si>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</si>
  <si>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</si>
  <si>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</si>
  <si>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</si>
  <si>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</si>
  <si>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</si>
  <si>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</si>
  <si>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</si>
  <si>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</si>
  <si>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</si>
  <si>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</si>
  <si>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</si>
  <si>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</si>
  <si>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</si>
  <si>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</si>
  <si>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</si>
  <si>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</si>
  <si>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</si>
  <si>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</si>
  <si>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</si>
  <si>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</si>
  <si>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</si>
  <si>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</si>
  <si>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</si>
  <si>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</si>
  <si>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</si>
  <si>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</si>
  <si>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</si>
  <si>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</si>
  <si>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</si>
  <si>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</si>
  <si>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</si>
  <si>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</si>
  <si>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</si>
  <si>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</si>
  <si>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</si>
  <si>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</si>
  <si>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</si>
  <si>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</si>
  <si>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</si>
  <si>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</si>
  <si>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</si>
  <si>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</si>
  <si>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</si>
  <si>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</si>
  <si>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</si>
  <si>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</si>
  <si>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</si>
  <si>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</si>
  <si>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</si>
  <si>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</si>
  <si>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</si>
  <si>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</si>
  <si>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</si>
  <si>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</si>
  <si>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</si>
  <si>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</si>
  <si>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</si>
  <si>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</si>
  <si>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</si>
  <si>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</si>
  <si>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</si>
  <si>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</si>
  <si>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</si>
  <si>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</si>
  <si>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</si>
  <si>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</si>
  <si>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</si>
  <si>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</si>
  <si>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</si>
  <si>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</si>
  <si>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</si>
  <si>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</si>
  <si>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</si>
  <si>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</si>
  <si>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</si>
  <si>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</si>
  <si>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</si>
  <si>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</si>
  <si>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</si>
  <si>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</si>
  <si>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</si>
  <si>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</si>
  <si>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</si>
  <si>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</si>
  <si>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</si>
  <si>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</si>
  <si>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</si>
  <si>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</si>
  <si>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</si>
  <si>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</si>
  <si>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</si>
  <si>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</si>
  <si>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</si>
  <si>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</si>
  <si>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</si>
  <si>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</si>
  <si>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</si>
  <si>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</si>
  <si>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</si>
  <si>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</si>
  <si>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</si>
  <si>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</si>
  <si>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</si>
  <si>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</si>
  <si>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</si>
  <si>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</si>
  <si>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</si>
  <si>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</si>
  <si>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</si>
  <si>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</si>
  <si>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</si>
  <si>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</si>
  <si>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</si>
  <si>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</si>
  <si>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</si>
  <si>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</si>
  <si>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</si>
  <si>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</si>
  <si>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</si>
  <si>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</si>
  <si>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</si>
  <si>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</si>
  <si>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</si>
  <si>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</si>
  <si>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</si>
  <si>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</si>
  <si>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</si>
  <si>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</si>
  <si>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</si>
  <si>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</si>
  <si>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</si>
  <si>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</si>
  <si>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</si>
  <si>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</si>
  <si>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</si>
  <si>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</si>
  <si>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</si>
  <si>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</si>
  <si>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</si>
  <si>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</si>
  <si>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</si>
  <si>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</si>
  <si>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</si>
  <si>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</si>
  <si>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</si>
  <si>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</si>
  <si>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</si>
  <si>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</si>
  <si>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</si>
  <si>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</si>
  <si>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</si>
  <si>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</si>
  <si>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</si>
  <si>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</si>
  <si>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</si>
  <si>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</si>
  <si>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</si>
  <si>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</si>
  <si>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</si>
  <si>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</si>
  <si>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</si>
  <si>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</si>
  <si>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</si>
  <si>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</si>
  <si>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</si>
  <si>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</si>
  <si>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</si>
  <si>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</si>
  <si>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</si>
  <si>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</si>
  <si>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</si>
  <si>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</si>
  <si>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</si>
  <si>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</si>
  <si>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</si>
  <si>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</si>
  <si>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</si>
  <si>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</si>
  <si>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</si>
  <si>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</si>
  <si>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</si>
  <si>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</si>
  <si>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</si>
  <si>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</si>
  <si>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</si>
  <si>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</si>
  <si>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</si>
  <si>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</si>
  <si>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</si>
  <si>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</si>
  <si>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</si>
  <si>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</si>
  <si>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</si>
  <si>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</si>
  <si>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</si>
  <si>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</si>
  <si>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</si>
  <si>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</si>
  <si>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</si>
  <si>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</si>
  <si>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</si>
  <si>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</si>
  <si>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</si>
  <si>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</si>
  <si>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</si>
  <si>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</si>
  <si>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</si>
  <si>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</si>
  <si>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</si>
  <si>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</si>
  <si>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</si>
  <si>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</si>
  <si>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</si>
  <si>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</si>
  <si>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</si>
  <si>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</si>
  <si>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</si>
  <si>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</si>
  <si>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</si>
  <si>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</si>
  <si>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</si>
  <si>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</si>
  <si>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</si>
  <si>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</si>
  <si>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</si>
  <si>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</si>
  <si>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</si>
  <si>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</si>
  <si>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</si>
  <si>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</si>
  <si>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</si>
  <si>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</si>
  <si>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</si>
  <si>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</si>
  <si>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</si>
  <si>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</si>
  <si>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</si>
  <si>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</si>
  <si>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</si>
  <si>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</si>
  <si>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</si>
  <si>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</si>
  <si>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</si>
  <si>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</si>
  <si>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</si>
  <si>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</si>
  <si>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</si>
  <si>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</si>
  <si>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</si>
  <si>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</si>
  <si>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</si>
  <si>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</si>
  <si>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</si>
  <si>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</si>
  <si>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</si>
  <si>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</si>
  <si>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</si>
  <si>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</si>
  <si>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</si>
  <si>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</si>
  <si>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</si>
  <si>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</si>
  <si>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</si>
  <si>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</si>
  <si>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</si>
  <si>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</si>
  <si>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</si>
  <si>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</si>
  <si>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</si>
  <si>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</si>
  <si>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</si>
  <si>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</si>
  <si>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</si>
  <si>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</si>
  <si>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</si>
  <si>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</si>
  <si>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</si>
  <si>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</si>
  <si>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</si>
  <si>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</si>
  <si>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</si>
  <si>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</si>
  <si>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</si>
  <si>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</si>
  <si>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</si>
  <si>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</si>
  <si>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</si>
  <si>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</si>
  <si>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</si>
  <si>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</si>
  <si>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</si>
  <si>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</si>
  <si>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</si>
  <si>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</si>
  <si>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</si>
  <si>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</si>
  <si>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</si>
  <si>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</si>
  <si>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</si>
  <si>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</si>
  <si>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</si>
  <si>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</si>
  <si>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</si>
  <si>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</si>
  <si>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</si>
  <si>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</si>
  <si>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</si>
  <si>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</si>
  <si>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</si>
  <si>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</si>
  <si>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</si>
  <si>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</si>
  <si>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</si>
  <si>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</si>
  <si>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</si>
  <si>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</si>
  <si>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</si>
  <si>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</si>
  <si>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</si>
  <si>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</si>
  <si>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</si>
  <si>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</si>
  <si>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</si>
  <si>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</si>
  <si>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</si>
  <si>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</si>
  <si>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</si>
  <si>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</si>
  <si>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</si>
  <si>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</si>
  <si>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</si>
  <si>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</si>
  <si>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</si>
  <si>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</si>
  <si>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</si>
  <si>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</si>
  <si>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</si>
  <si>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</si>
  <si>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</si>
  <si>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</si>
  <si>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</si>
  <si>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</si>
  <si>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</si>
  <si>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</si>
  <si>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</si>
  <si>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</si>
  <si>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</si>
  <si>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</si>
  <si>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</si>
  <si>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</si>
  <si>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</si>
  <si>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</si>
  <si>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</si>
  <si>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</si>
  <si>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</si>
  <si>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</si>
  <si>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</si>
  <si>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</si>
  <si>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</si>
  <si>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</si>
  <si>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</si>
  <si>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</si>
  <si>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</si>
  <si>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</si>
  <si>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</si>
  <si>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</si>
  <si>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</si>
  <si>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</si>
  <si>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</si>
  <si>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</si>
  <si>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</si>
  <si>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</si>
  <si>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</si>
  <si>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</si>
  <si>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</si>
  <si>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</si>
  <si>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</si>
  <si>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</si>
  <si>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</si>
  <si>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</si>
  <si>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</si>
  <si>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</si>
  <si>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</si>
  <si>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</si>
  <si>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</si>
  <si>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</si>
  <si>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</si>
  <si>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</si>
  <si>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</si>
  <si>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</si>
  <si>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</si>
  <si>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</si>
  <si>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</si>
  <si>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</si>
  <si>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</si>
  <si>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</si>
  <si>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</si>
  <si>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</si>
  <si>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</si>
  <si>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</si>
  <si>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</si>
  <si>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</si>
  <si>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</si>
  <si>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</si>
  <si>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</si>
  <si>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</si>
  <si>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</si>
  <si>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</si>
  <si>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</si>
  <si>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</si>
  <si>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</si>
  <si>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</si>
  <si>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</si>
  <si>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</si>
  <si>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</si>
  <si>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</si>
  <si>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</si>
  <si>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</si>
  <si>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</si>
  <si>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</si>
  <si>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</si>
  <si>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</si>
  <si>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</si>
  <si>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</si>
  <si>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</si>
  <si>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</si>
  <si>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</si>
  <si>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</si>
  <si>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</si>
  <si>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</si>
  <si>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</si>
  <si>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</si>
  <si>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</si>
  <si>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</si>
  <si>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</si>
  <si>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</si>
  <si>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</si>
  <si>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</si>
  <si>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</si>
  <si>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</si>
  <si>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</si>
  <si>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</si>
  <si>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</si>
  <si>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</si>
  <si>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</si>
  <si>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</si>
  <si>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</si>
  <si>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</si>
  <si>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</si>
  <si>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</si>
  <si>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</si>
  <si>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</si>
  <si>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</si>
  <si>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</si>
  <si>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</si>
  <si>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</si>
  <si>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</si>
  <si>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</si>
  <si>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</si>
  <si>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</si>
  <si>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</si>
  <si>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</si>
  <si>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</si>
  <si>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</si>
  <si>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</si>
  <si>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</si>
  <si>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</si>
  <si>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</si>
  <si>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</si>
  <si>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</si>
  <si>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</si>
  <si>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</si>
  <si>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</si>
  <si>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</si>
  <si>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</si>
  <si>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</si>
  <si>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</si>
  <si>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</si>
  <si>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</si>
  <si>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</si>
  <si>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</si>
  <si>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</si>
  <si>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</si>
  <si>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</si>
  <si>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</si>
  <si>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</si>
  <si>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</si>
  <si>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</si>
  <si>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</si>
  <si>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</si>
  <si>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</si>
  <si>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</si>
  <si>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</si>
  <si>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</si>
  <si>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</si>
  <si>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</si>
  <si>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</si>
  <si>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</si>
  <si>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</si>
  <si>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</si>
  <si>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</si>
  <si>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</si>
  <si>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</si>
  <si>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</si>
  <si>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</si>
  <si>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</si>
  <si>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</si>
  <si>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</si>
  <si>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</si>
  <si>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</si>
  <si>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</si>
  <si>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</si>
  <si>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</si>
  <si>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</si>
  <si>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</si>
  <si>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</si>
  <si>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</si>
  <si>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</si>
  <si>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</si>
  <si>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</si>
  <si>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</si>
  <si>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</si>
  <si>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</si>
  <si>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</si>
  <si>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</si>
  <si>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</si>
  <si>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</si>
  <si>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</si>
  <si>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</si>
  <si>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</si>
  <si>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</si>
  <si>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</si>
  <si>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</si>
  <si>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</si>
  <si>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</si>
  <si>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</si>
  <si>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</si>
  <si>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</si>
  <si>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</si>
  <si>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</si>
  <si>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</si>
  <si>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</si>
  <si>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</si>
  <si>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</si>
  <si>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</si>
  <si>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</si>
  <si>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</si>
  <si>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</si>
  <si>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</si>
  <si>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</si>
  <si>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</si>
  <si>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</si>
  <si>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</si>
  <si>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</si>
  <si>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</si>
  <si>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</si>
  <si>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</si>
  <si>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</si>
  <si>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</si>
  <si>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</si>
  <si>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</si>
  <si>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</si>
  <si>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</si>
  <si>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</si>
  <si>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</si>
  <si>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</si>
  <si>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</si>
  <si>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</si>
  <si>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</si>
  <si>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</si>
  <si>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</si>
  <si>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</si>
  <si>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</si>
  <si>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</si>
  <si>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</si>
  <si>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</si>
  <si>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</si>
  <si>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</si>
  <si>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</si>
  <si>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</si>
  <si>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</si>
  <si>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</si>
  <si>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</si>
  <si>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</si>
  <si>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</si>
  <si>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</si>
  <si>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</si>
  <si>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</si>
  <si>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</si>
  <si>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</si>
  <si>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</si>
  <si>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</si>
  <si>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</si>
  <si>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</si>
  <si>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</si>
  <si>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</si>
  <si>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</si>
  <si>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</si>
  <si>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</si>
  <si>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</si>
  <si>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</si>
  <si>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</si>
  <si>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</si>
  <si>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</si>
  <si>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</si>
  <si>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</si>
  <si>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</si>
  <si>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</si>
  <si>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</si>
  <si>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</si>
  <si>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</si>
  <si>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</si>
  <si>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</si>
  <si>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</si>
  <si>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</si>
  <si>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</si>
  <si>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</si>
  <si>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</si>
  <si>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</si>
  <si>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</si>
  <si>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</si>
  <si>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</si>
  <si>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</si>
  <si>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</si>
  <si>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</si>
  <si>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</si>
  <si>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</si>
  <si>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</si>
  <si>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</si>
  <si>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</si>
  <si>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</si>
  <si>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</si>
  <si>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</si>
  <si>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</si>
  <si>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</si>
  <si>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</si>
  <si>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</si>
  <si>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</si>
  <si>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</si>
  <si>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</si>
  <si>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</si>
  <si>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</si>
  <si>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</si>
  <si>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</si>
  <si>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</si>
  <si>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</si>
  <si>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</si>
  <si>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</si>
  <si>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</si>
  <si>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</si>
  <si>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</si>
  <si>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</si>
  <si>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</si>
  <si>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</si>
  <si>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</si>
  <si>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</si>
  <si>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</si>
  <si>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</si>
  <si>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</si>
  <si>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</si>
  <si>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</si>
  <si>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</si>
  <si>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</si>
  <si>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</si>
  <si>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</si>
  <si>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</si>
  <si>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</si>
  <si>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</si>
  <si>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</si>
  <si>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</si>
  <si>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</si>
  <si>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</si>
  <si>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</si>
  <si>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</si>
  <si>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</si>
  <si>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</si>
  <si>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</si>
  <si>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</si>
  <si>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</si>
  <si>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</si>
  <si>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</si>
  <si>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</si>
  <si>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</si>
  <si>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</si>
  <si>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</si>
  <si>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</si>
  <si>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</si>
  <si>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</si>
  <si>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</si>
  <si>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</si>
  <si>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</si>
  <si>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</si>
  <si>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</si>
  <si>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</si>
  <si>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</si>
  <si>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</si>
  <si>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</si>
  <si>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</si>
  <si>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</si>
  <si>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</si>
  <si>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</si>
  <si>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</si>
  <si>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</si>
  <si>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</si>
  <si>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</si>
  <si>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</si>
  <si>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</si>
  <si>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</si>
  <si>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</si>
  <si>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</si>
  <si>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</si>
  <si>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</si>
  <si>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</si>
  <si>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</si>
  <si>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</si>
  <si>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</si>
  <si>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</si>
  <si>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</si>
  <si>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</si>
  <si>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</si>
  <si>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</si>
  <si>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</si>
  <si>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</si>
  <si>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</si>
  <si>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</si>
  <si>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</si>
  <si>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</si>
  <si>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</si>
  <si>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</si>
  <si>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</si>
  <si>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</si>
  <si>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</si>
  <si>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</si>
  <si>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</si>
  <si>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</si>
  <si>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</si>
  <si>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</si>
  <si>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</si>
  <si>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</si>
  <si>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</si>
  <si>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</si>
  <si>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</si>
  <si>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</si>
  <si>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</si>
  <si>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</si>
  <si>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</si>
  <si>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</si>
  <si>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</si>
  <si>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</si>
  <si>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</si>
  <si>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</si>
  <si>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</si>
  <si>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</si>
  <si>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</si>
  <si>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</si>
  <si>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</si>
  <si>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</si>
  <si>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</si>
  <si>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</si>
  <si>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</si>
  <si>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</si>
  <si>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</si>
  <si>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</si>
  <si>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</si>
  <si>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</si>
  <si>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</si>
  <si>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</si>
  <si>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</si>
  <si>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</si>
  <si>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</si>
  <si>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</si>
  <si>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</si>
  <si>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</si>
  <si>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</si>
  <si>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</si>
  <si>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</si>
  <si>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</si>
  <si>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</si>
  <si>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</si>
  <si>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</si>
  <si>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</si>
  <si>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</si>
  <si>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</si>
  <si>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</si>
  <si>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</si>
  <si>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</si>
  <si>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</si>
  <si>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</si>
  <si>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</si>
  <si>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</si>
  <si>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</si>
  <si>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</si>
  <si>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</si>
  <si>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</si>
  <si>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</si>
  <si>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</si>
  <si>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</si>
  <si>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</si>
  <si>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</si>
  <si>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</si>
  <si>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</si>
  <si>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</si>
  <si>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</si>
  <si>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</si>
  <si>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</si>
  <si>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</si>
  <si>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</si>
  <si>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</si>
  <si>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</si>
  <si>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</si>
  <si>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</si>
  <si>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</si>
  <si>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</si>
  <si>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</si>
  <si>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</si>
  <si>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</si>
  <si>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</si>
  <si>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</si>
  <si>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</si>
  <si>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</si>
  <si>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</si>
  <si>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</si>
  <si>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</si>
  <si>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</si>
  <si>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</si>
  <si>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</si>
  <si>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</si>
  <si>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</si>
  <si>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</si>
  <si>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</si>
  <si>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</si>
  <si>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</si>
  <si>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</si>
  <si>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</si>
  <si>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</si>
  <si>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</si>
  <si>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</si>
  <si>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</si>
  <si>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</si>
  <si>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</si>
  <si>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</si>
  <si>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</si>
  <si>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</si>
  <si>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</si>
  <si>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</si>
  <si>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</si>
  <si>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</si>
  <si>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</si>
  <si>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</si>
  <si>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</si>
  <si>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</si>
  <si>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</si>
  <si>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</si>
  <si>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</si>
  <si>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</si>
  <si>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</si>
  <si>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</si>
  <si>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</si>
  <si>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</si>
  <si>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</si>
  <si>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</si>
  <si>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</si>
  <si>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</si>
  <si>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</si>
  <si>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</si>
  <si>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</si>
  <si>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</si>
  <si>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</si>
  <si>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</si>
  <si>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</si>
  <si>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</si>
  <si>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</si>
  <si>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</si>
  <si>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</si>
  <si>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</si>
  <si>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</si>
  <si>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</si>
  <si>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</si>
  <si>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</si>
  <si>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</si>
  <si>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</si>
  <si>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</si>
  <si>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</si>
  <si>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</si>
  <si>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</si>
  <si>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</si>
  <si>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</si>
  <si>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</si>
  <si>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</si>
  <si>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</si>
  <si>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</si>
  <si>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</si>
  <si>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</si>
  <si>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</si>
  <si>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</si>
  <si>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</si>
  <si>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</si>
  <si>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</si>
  <si>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</si>
  <si>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</si>
  <si>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</si>
  <si>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</si>
  <si>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</si>
  <si>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</si>
  <si>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</si>
  <si>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</si>
  <si>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</si>
  <si>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</si>
  <si>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</si>
  <si>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</si>
  <si>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</si>
  <si>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</si>
  <si>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</si>
  <si>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</si>
  <si>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</si>
  <si>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</si>
  <si>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</si>
  <si>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</si>
  <si>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</si>
  <si>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</si>
  <si>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</si>
  <si>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</si>
  <si>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</si>
  <si>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</si>
  <si>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</si>
  <si>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</si>
  <si>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</si>
  <si>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</si>
  <si>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</si>
  <si>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</si>
  <si>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</si>
  <si>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</si>
  <si>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</si>
  <si>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</si>
  <si>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</si>
  <si>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</si>
  <si>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</si>
  <si>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</si>
  <si>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</si>
  <si>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</si>
  <si>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</si>
  <si>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</si>
  <si>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</si>
  <si>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</si>
  <si>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</si>
  <si>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</si>
  <si>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</si>
  <si>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</si>
  <si>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</si>
  <si>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</si>
  <si>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</si>
  <si>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</si>
  <si>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</si>
  <si>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</si>
  <si>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</si>
  <si>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</si>
  <si>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</si>
  <si>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</si>
  <si>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</si>
  <si>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</si>
  <si>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</si>
  <si>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</si>
  <si>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</si>
  <si>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</si>
  <si>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</si>
  <si>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</si>
  <si>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</si>
  <si>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</si>
  <si>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</si>
  <si>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</si>
  <si>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</si>
  <si>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</si>
  <si>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</si>
  <si>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</si>
  <si>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</si>
  <si>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</si>
  <si>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</si>
  <si>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</si>
  <si>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</si>
  <si>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</si>
  <si>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</si>
  <si>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</si>
  <si>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</si>
  <si>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</si>
  <si>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</si>
  <si>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</si>
  <si>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</si>
  <si>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</si>
  <si>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</si>
  <si>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</si>
  <si>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</si>
  <si>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</si>
  <si>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</si>
  <si>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</si>
  <si>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</si>
  <si>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</si>
  <si>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</si>
  <si>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</si>
  <si>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</si>
  <si>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</si>
  <si>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</si>
  <si>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</si>
  <si>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</si>
  <si>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</si>
  <si>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</si>
  <si>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</si>
  <si>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</si>
  <si>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</si>
  <si>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</si>
  <si>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</si>
  <si>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</si>
  <si>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</si>
  <si>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</si>
  <si>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</si>
  <si>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</si>
  <si>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</si>
  <si>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</si>
  <si>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</si>
  <si>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</si>
  <si>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</si>
  <si>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</si>
  <si>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</si>
  <si>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</si>
  <si>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</si>
  <si>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</si>
  <si>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</si>
  <si>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</si>
  <si>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</si>
  <si>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</si>
  <si>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</si>
  <si>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</si>
  <si>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</si>
  <si>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</si>
  <si>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</si>
  <si>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</si>
  <si>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</si>
  <si>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</si>
  <si>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</si>
  <si>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</si>
  <si>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</si>
  <si>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</si>
  <si>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</si>
  <si>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</si>
  <si>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</si>
  <si>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</si>
  <si>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</si>
  <si>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</si>
  <si>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</si>
  <si>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</si>
  <si>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</si>
  <si>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</si>
  <si>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</si>
  <si>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</si>
  <si>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</si>
  <si>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</si>
  <si>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</si>
  <si>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</si>
  <si>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</si>
  <si>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</si>
  <si>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</si>
  <si>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</si>
  <si>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</si>
  <si>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</si>
  <si>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</si>
  <si>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</si>
  <si>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</si>
  <si>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</si>
  <si>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</si>
  <si>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</si>
  <si>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</si>
  <si>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</si>
  <si>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</si>
  <si>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</si>
  <si>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</si>
  <si>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</si>
  <si>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</si>
  <si>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</si>
  <si>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</si>
  <si>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</si>
  <si>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</si>
  <si>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</si>
  <si>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</si>
  <si>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</si>
  <si>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</si>
  <si>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</si>
  <si>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</si>
  <si>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</si>
  <si>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</si>
  <si>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</si>
  <si>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</si>
  <si>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</si>
  <si>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</si>
  <si>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</si>
  <si>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</si>
  <si>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</si>
  <si>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</si>
  <si>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</si>
  <si>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</si>
  <si>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</si>
  <si>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</si>
  <si>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</si>
  <si>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</si>
  <si>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</si>
  <si>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</si>
  <si>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</si>
  <si>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</si>
  <si>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</si>
  <si>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</si>
  <si>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</si>
  <si>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</si>
  <si>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</si>
  <si>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</si>
  <si>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</si>
  <si>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</si>
  <si>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</si>
  <si>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</si>
  <si>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</si>
  <si>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</si>
  <si>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</si>
  <si>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</si>
  <si>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</si>
  <si>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</si>
  <si>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</si>
  <si>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</si>
  <si>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</si>
  <si>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</si>
  <si>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</si>
  <si>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</si>
  <si>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</si>
  <si>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</si>
  <si>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</si>
  <si>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</si>
  <si>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</si>
  <si>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</si>
  <si>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</si>
  <si>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</si>
  <si>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</si>
  <si>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</si>
  <si>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</si>
  <si>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</si>
  <si>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</si>
  <si>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</si>
  <si>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</si>
  <si>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</si>
  <si>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</si>
  <si>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</si>
  <si>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</si>
  <si>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</si>
  <si>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</si>
  <si>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</si>
  <si>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</si>
  <si>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</si>
  <si>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</si>
  <si>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</si>
  <si>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</si>
  <si>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</si>
  <si>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</si>
  <si>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</si>
  <si>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</si>
  <si>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</si>
  <si>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</si>
  <si>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</si>
  <si>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</si>
  <si>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</si>
  <si>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</si>
  <si>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</si>
  <si>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</si>
  <si>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</si>
  <si>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</si>
  <si>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</si>
  <si>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</si>
  <si>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</si>
  <si>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</si>
  <si>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</si>
  <si>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</si>
  <si>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</si>
  <si>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</si>
  <si>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</si>
  <si>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</si>
  <si>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</si>
  <si>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</si>
  <si>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</si>
  <si>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</si>
  <si>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</si>
  <si>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</si>
  <si>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</si>
  <si>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</si>
  <si>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</si>
  <si>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</si>
  <si>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</si>
  <si>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</si>
  <si>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</si>
  <si>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</si>
  <si>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</si>
  <si>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</si>
  <si>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</si>
  <si>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</si>
  <si>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</si>
  <si>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</si>
  <si>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</si>
  <si>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</si>
  <si>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</si>
  <si>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</si>
  <si>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</si>
  <si>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</si>
  <si>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</si>
  <si>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</si>
  <si>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</si>
  <si>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</si>
  <si>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</si>
  <si>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</si>
  <si>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</si>
  <si>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</si>
  <si>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</si>
  <si>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</si>
  <si>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</si>
  <si>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</si>
  <si>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</si>
  <si>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</si>
  <si>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</si>
  <si>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</si>
  <si>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</si>
  <si>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</si>
  <si>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</si>
  <si>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</si>
  <si>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</si>
  <si>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</si>
  <si>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</si>
  <si>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</si>
  <si>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</si>
  <si>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</si>
  <si>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</si>
  <si>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</si>
  <si>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</si>
  <si>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</si>
  <si>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</si>
  <si>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</si>
  <si>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</si>
  <si>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</si>
  <si>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</si>
  <si>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</si>
  <si>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</si>
  <si>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</si>
  <si>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</si>
  <si>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</si>
  <si>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</si>
  <si>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</si>
  <si>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</si>
  <si>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</si>
  <si>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</si>
  <si>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</si>
  <si>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</si>
  <si>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</si>
  <si>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</si>
  <si>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</si>
  <si>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</si>
  <si>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</si>
  <si>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</si>
  <si>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</si>
  <si>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</si>
  <si>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</si>
  <si>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</si>
  <si>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</si>
  <si>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</si>
  <si>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</si>
  <si>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</si>
  <si>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</si>
  <si>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</si>
  <si>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</si>
  <si>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</si>
  <si>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</si>
  <si>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</si>
  <si>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</si>
  <si>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</si>
  <si>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</si>
  <si>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</si>
  <si>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</si>
  <si>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</si>
  <si>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</si>
  <si>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</si>
  <si>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</si>
  <si>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</si>
  <si>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</si>
  <si>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</si>
  <si>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</si>
  <si>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</si>
  <si>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</si>
  <si>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</si>
  <si>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</si>
  <si>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</si>
  <si>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</si>
  <si>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</si>
  <si>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</si>
  <si>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</si>
  <si>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</si>
  <si>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</si>
  <si>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</si>
  <si>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</si>
  <si>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</si>
  <si>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</si>
  <si>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</si>
  <si>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</si>
  <si>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</si>
  <si>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</si>
  <si>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</si>
  <si>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</si>
  <si>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</si>
  <si>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</si>
  <si>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</si>
  <si>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</si>
  <si>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</si>
  <si>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</si>
  <si>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</si>
  <si>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</si>
  <si>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</si>
  <si>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</si>
  <si>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</si>
  <si>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</si>
  <si>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</si>
  <si>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</si>
  <si>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</si>
  <si>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</si>
  <si>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</si>
  <si>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</si>
  <si>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</si>
  <si>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</si>
  <si>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</si>
  <si>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</si>
  <si>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</si>
  <si>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</si>
  <si>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</si>
  <si>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</si>
  <si>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</si>
  <si>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</si>
  <si>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</si>
  <si>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</si>
  <si>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</si>
  <si>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</si>
  <si>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</si>
  <si>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</si>
  <si>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</si>
  <si>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</si>
  <si>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</si>
  <si>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</si>
  <si>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</si>
  <si>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</si>
  <si>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</si>
  <si>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</si>
  <si>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</si>
  <si>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</si>
  <si>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</si>
  <si>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</si>
  <si>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</si>
  <si>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</si>
  <si>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</si>
  <si>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</si>
  <si>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</si>
  <si>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</si>
  <si>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</si>
  <si>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</si>
  <si>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</si>
  <si>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</si>
  <si>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</si>
  <si>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</si>
  <si>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</si>
  <si>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</si>
  <si>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</si>
  <si>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</si>
  <si>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</si>
  <si>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</si>
  <si>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</si>
  <si>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</si>
  <si>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</si>
  <si>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</si>
  <si>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</si>
  <si>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</si>
  <si>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</si>
  <si>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</si>
  <si>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</si>
  <si>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</si>
  <si>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</si>
  <si>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</si>
  <si>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</si>
  <si>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</si>
  <si>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</si>
  <si>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</si>
  <si>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</si>
  <si>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</si>
  <si>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</si>
  <si>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</si>
  <si>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</si>
  <si>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</si>
  <si>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</si>
  <si>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</si>
  <si>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</si>
  <si>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</si>
  <si>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</si>
  <si>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</si>
  <si>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</si>
  <si>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</si>
  <si>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</si>
  <si>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</si>
  <si>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</si>
  <si>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</si>
  <si>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</si>
  <si>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</si>
  <si>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</si>
  <si>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</si>
  <si>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</si>
  <si>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</si>
  <si>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</si>
  <si>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</si>
  <si>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</si>
  <si>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</si>
  <si>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</si>
  <si>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</si>
  <si>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</si>
  <si>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</si>
  <si>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</si>
  <si>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</si>
  <si>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</si>
  <si>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</si>
  <si>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</si>
  <si>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</si>
  <si>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</si>
  <si>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</si>
  <si>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</si>
  <si>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</si>
  <si>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</si>
  <si>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</si>
  <si>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</si>
  <si>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</si>
  <si>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</si>
  <si>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</si>
  <si>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</si>
  <si>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</si>
  <si>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</si>
  <si>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</si>
  <si>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</si>
  <si>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</si>
  <si>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</si>
  <si>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</si>
  <si>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</si>
  <si>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</si>
  <si>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</si>
  <si>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</si>
  <si>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</si>
  <si>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</si>
  <si>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</si>
  <si>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</si>
  <si>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</si>
  <si>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</si>
  <si>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</si>
  <si>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</si>
  <si>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</si>
  <si>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</si>
  <si>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</si>
  <si>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</si>
  <si>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</si>
  <si>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</si>
  <si>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</si>
  <si>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</si>
  <si>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</si>
  <si>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</si>
  <si>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</si>
  <si>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</si>
  <si>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</si>
  <si>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</si>
  <si>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</si>
  <si>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</si>
  <si>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</si>
  <si>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</si>
  <si>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</si>
  <si>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</si>
  <si>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</si>
  <si>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</si>
  <si>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</si>
  <si>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</si>
  <si>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</si>
  <si>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</si>
  <si>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</si>
  <si>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</si>
  <si>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</si>
  <si>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</si>
  <si>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</si>
  <si>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</si>
  <si>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</si>
  <si>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</si>
  <si>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</si>
  <si>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</si>
  <si>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</si>
  <si>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</si>
  <si>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</si>
  <si>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</si>
  <si>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</si>
  <si>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</si>
  <si>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</si>
  <si>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</si>
  <si>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</si>
  <si>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</si>
  <si>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</si>
  <si>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</si>
  <si>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</si>
  <si>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</si>
  <si>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</si>
  <si>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</si>
  <si>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</si>
  <si>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</si>
  <si>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</si>
  <si>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</si>
  <si>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</si>
  <si>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</si>
  <si>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</si>
  <si>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</si>
  <si>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</si>
  <si>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</si>
  <si>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</si>
  <si>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</si>
  <si>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</si>
  <si>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</si>
  <si>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</si>
  <si>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</si>
  <si>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</si>
  <si>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</si>
  <si>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</si>
  <si>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</si>
  <si>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</si>
  <si>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</si>
  <si>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</si>
  <si>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</si>
  <si>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</si>
  <si>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</si>
  <si>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</si>
  <si>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</si>
  <si>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</si>
  <si>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</si>
  <si>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</si>
  <si>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</si>
  <si>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</si>
  <si>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</si>
  <si>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</si>
  <si>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</si>
  <si>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</si>
  <si>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</si>
  <si>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</si>
  <si>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</si>
  <si>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</si>
  <si>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</si>
  <si>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</si>
  <si>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</si>
  <si>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</si>
  <si>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</si>
  <si>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</si>
  <si>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</si>
  <si>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</si>
  <si>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</si>
  <si>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</si>
  <si>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</si>
  <si>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</si>
  <si>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</si>
  <si>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</si>
  <si>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</si>
  <si>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</si>
  <si>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</si>
  <si>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</si>
  <si>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</si>
  <si>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</si>
  <si>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</si>
  <si>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</si>
  <si>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</si>
  <si>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</si>
  <si>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</si>
  <si>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</si>
  <si>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</si>
  <si>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</si>
  <si>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</si>
  <si>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</si>
  <si>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</si>
  <si>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</si>
  <si>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</si>
  <si>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</si>
  <si>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</si>
  <si>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</si>
  <si>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</si>
  <si>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</si>
  <si>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</si>
  <si>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</si>
  <si>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</si>
  <si>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</si>
  <si>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</si>
  <si>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</si>
  <si>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</si>
  <si>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</si>
  <si>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</si>
  <si>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</si>
  <si>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</si>
  <si>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</si>
  <si>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</si>
  <si>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</si>
  <si>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</si>
  <si>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</si>
  <si>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</si>
  <si>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</si>
  <si>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</si>
  <si>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</si>
  <si>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</si>
  <si>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</si>
  <si>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</si>
  <si>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</si>
  <si>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</si>
  <si>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</si>
  <si>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</si>
  <si>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</si>
  <si>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</si>
  <si>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</si>
  <si>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</si>
  <si>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</si>
  <si>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</si>
  <si>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</si>
  <si>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</si>
  <si>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</si>
  <si>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</si>
  <si>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</si>
  <si>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</si>
  <si>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</si>
  <si>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</si>
  <si>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</si>
  <si>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</si>
  <si>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</si>
  <si>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</si>
  <si>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</si>
  <si>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</si>
  <si>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</si>
  <si>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</si>
  <si>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</si>
  <si>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</si>
  <si>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</si>
  <si>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</si>
  <si>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</si>
  <si>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</si>
  <si>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</si>
  <si>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</si>
  <si>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</si>
  <si>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</si>
  <si>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</si>
  <si>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</si>
  <si>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</si>
  <si>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</si>
  <si>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</si>
  <si>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</si>
  <si>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</si>
  <si>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</si>
  <si>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</si>
  <si>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</si>
  <si>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</si>
  <si>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</si>
  <si>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</si>
  <si>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</si>
  <si>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</si>
  <si>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</si>
  <si>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</si>
  <si>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</si>
  <si>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</si>
  <si>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</si>
  <si>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</si>
  <si>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</si>
  <si>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</si>
  <si>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</si>
  <si>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</si>
  <si>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</si>
  <si>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</si>
  <si>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</si>
  <si>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</si>
  <si>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</si>
  <si>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</si>
  <si>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</si>
  <si>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</si>
  <si>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</si>
  <si>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</si>
  <si>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</si>
  <si>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</si>
  <si>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</si>
  <si>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</si>
  <si>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</si>
  <si>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</si>
  <si>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</si>
  <si>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</si>
  <si>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</si>
  <si>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</si>
  <si>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</si>
  <si>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</si>
  <si>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</si>
  <si>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</si>
  <si>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</si>
  <si>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</si>
  <si>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</si>
  <si>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</si>
  <si>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</si>
  <si>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</si>
  <si>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</si>
  <si>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</si>
  <si>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</si>
  <si>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</si>
  <si>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</si>
  <si>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</si>
  <si>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</si>
  <si>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</si>
  <si>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</si>
  <si>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</si>
  <si>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</si>
  <si>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</si>
  <si>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</si>
  <si>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</si>
  <si>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</si>
  <si>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</si>
  <si>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</si>
  <si>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</si>
  <si>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</si>
  <si>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</si>
  <si>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</si>
  <si>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</si>
  <si>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</si>
  <si>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</si>
  <si>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</si>
  <si>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</si>
  <si>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</si>
  <si>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</si>
  <si>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</si>
  <si>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</si>
  <si>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</si>
  <si>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</si>
  <si>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</si>
  <si>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</si>
  <si>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</si>
  <si>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</si>
  <si>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</si>
  <si>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</si>
  <si>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</si>
  <si>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</si>
  <si>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</si>
  <si>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</si>
  <si>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</si>
  <si>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</si>
  <si>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</si>
  <si>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</si>
  <si>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</si>
  <si>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</si>
  <si>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</si>
  <si>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</si>
  <si>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</si>
  <si>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</si>
  <si>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</si>
  <si>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</si>
  <si>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</si>
  <si>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</si>
  <si>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</si>
  <si>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</si>
  <si>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</si>
  <si>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</si>
  <si>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</si>
  <si>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</si>
  <si>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</si>
  <si>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</si>
  <si>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</si>
  <si>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</si>
  <si>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</si>
  <si>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</si>
  <si>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</si>
  <si>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</si>
  <si>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</si>
  <si>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</si>
  <si>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</si>
  <si>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</si>
  <si>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</si>
  <si>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</si>
  <si>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</si>
  <si>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</si>
  <si>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</si>
  <si>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</si>
  <si>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</si>
  <si>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</si>
  <si>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</si>
  <si>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</si>
  <si>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</si>
  <si>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</si>
  <si>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</si>
  <si>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</si>
  <si>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</si>
  <si>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</si>
  <si>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</si>
  <si>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</si>
  <si>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</si>
  <si>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</si>
  <si>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</si>
  <si>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</si>
  <si>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</si>
  <si>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</si>
  <si>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</si>
  <si>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</si>
  <si>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</si>
  <si>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</si>
  <si>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</si>
  <si>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</si>
  <si>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</si>
  <si>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</si>
  <si>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</si>
  <si>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</si>
  <si>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</si>
  <si>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</si>
  <si>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</si>
  <si>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</si>
  <si>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</si>
  <si>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</si>
  <si>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</si>
  <si>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</si>
  <si>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</si>
  <si>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</si>
  <si>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</si>
  <si>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</si>
  <si>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</si>
  <si>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</si>
  <si>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</si>
  <si>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</si>
  <si>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</si>
  <si>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</si>
  <si>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</si>
  <si>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</si>
  <si>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</si>
  <si>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</si>
  <si>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</si>
  <si>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</si>
  <si>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</si>
  <si>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</si>
  <si>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</si>
  <si>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</si>
  <si>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</si>
  <si>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</si>
  <si>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</si>
  <si>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</si>
  <si>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</si>
  <si>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</si>
  <si>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</si>
  <si>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</si>
  <si>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</si>
  <si>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</si>
  <si>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</si>
  <si>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</si>
  <si>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</si>
  <si>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</si>
  <si>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</si>
  <si>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</si>
  <si>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</si>
  <si>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</si>
  <si>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</si>
  <si>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</si>
  <si>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</si>
  <si>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</si>
  <si>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</si>
  <si>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</si>
  <si>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</si>
  <si>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</si>
  <si>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</si>
  <si>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</si>
  <si>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</si>
  <si>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</si>
  <si>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</si>
  <si>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</si>
  <si>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</si>
  <si>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</si>
  <si>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</si>
  <si>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</si>
  <si>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</si>
  <si>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</si>
  <si>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</si>
  <si>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</si>
  <si>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</si>
  <si>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</si>
  <si>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</si>
  <si>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</si>
  <si>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</si>
  <si>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</si>
  <si>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</si>
  <si>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</si>
  <si>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</si>
  <si>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</si>
  <si>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</si>
  <si>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</si>
  <si>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</si>
  <si>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</si>
  <si>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</si>
  <si>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</si>
  <si>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</si>
  <si>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</si>
  <si>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</si>
  <si>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</si>
  <si>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</si>
  <si>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</si>
  <si>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</si>
  <si>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</si>
  <si>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</si>
  <si>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</si>
  <si>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</si>
  <si>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</si>
  <si>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</si>
  <si>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</si>
  <si>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</si>
  <si>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</si>
  <si>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</si>
  <si>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</si>
  <si>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</si>
  <si>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</si>
  <si>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</si>
  <si>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</si>
  <si>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</si>
  <si>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</si>
  <si>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</si>
  <si>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</si>
  <si>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</si>
  <si>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</si>
  <si>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</si>
  <si>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</si>
  <si>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</si>
  <si>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</si>
  <si>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</si>
  <si>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</si>
  <si>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</si>
  <si>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</si>
  <si>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</si>
  <si>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</si>
  <si>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</si>
  <si>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</si>
  <si>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</si>
  <si>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</si>
  <si>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</si>
  <si>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</si>
  <si>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</si>
  <si>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</si>
  <si>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</si>
  <si>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</si>
  <si>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</si>
  <si>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</si>
  <si>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</si>
  <si>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</si>
  <si>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</si>
  <si>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</si>
  <si>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</si>
  <si>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</si>
  <si>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</si>
  <si>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</si>
  <si>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</si>
  <si>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</si>
  <si>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</si>
  <si>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</si>
  <si>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</si>
  <si>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</si>
  <si>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</si>
  <si>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</si>
  <si>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</si>
  <si>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</si>
  <si>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</si>
  <si>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</si>
  <si>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</si>
  <si>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</si>
  <si>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</si>
  <si>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</si>
  <si>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</si>
  <si>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</si>
  <si>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</si>
  <si>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</si>
  <si>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</si>
  <si>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</si>
  <si>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</si>
  <si>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</si>
  <si>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</si>
  <si>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</si>
  <si>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</si>
  <si>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</si>
  <si>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</si>
  <si>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</si>
  <si>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</si>
  <si>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</si>
  <si>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</si>
  <si>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</si>
  <si>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</si>
  <si>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SCHOTT AG, Business Unit Advanced Optics</t>
  </si>
  <si>
    <t>All glasses melted by SCHOTT AG, Business Unit Advanced Optics</t>
  </si>
  <si>
    <t>Hattenbergstrasse 10, 55122 Mainz, Germany</t>
  </si>
  <si>
    <t>Dr. Kristian Eichgrün</t>
  </si>
  <si>
    <t>ehs-compliance.ao@schott.com</t>
  </si>
  <si>
    <t>+49 (0) 6131 662155</t>
  </si>
  <si>
    <t>Head of Global EHS &amp; QM</t>
  </si>
  <si>
    <t xml:space="preserve">We source exclusively conflict-free material based on OECD due dilligence and Dodd-Frank requirements. CID002544, CID002545 and CID002550.  </t>
  </si>
  <si>
    <t>Smelters who source from the conflict-affected and high-risk areas all have a due diligence procedures in place that comply with RMAP standards</t>
  </si>
  <si>
    <t>We source exclusively conflict-free material based on OECD due dilligence and Dodd-Frank requirements. CID002542</t>
  </si>
  <si>
    <t>100%</t>
  </si>
  <si>
    <t>https://www.schott.com/de-de/ueber-uns/nachhaltigkeit/compliance
https://www.schott.com/de-de/einkaufsbedingungen-der-schott-ag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</si>
</sst>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ehs-compliance.ao@schott.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ehs-compliance.ao@schott.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D68" sqref="D6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83E396F-B173-4851-B471-829195F9D74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FC88512-DCD5-4AA7-B69B-AE08D858E20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 zoomScalePageLayoutView="70" workbookViewId="0">
      <selection activeCell="AA19" sqref="AA1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492</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 (*)</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45433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484</v>
      </c>
      <c r="E38" s="327"/>
      <c r="F38" s="47"/>
      <c r="G38" s="334" t="s">
        <v>15862</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t="s">
        <v>15863</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484</v>
      </c>
      <c r="E41" s="327"/>
      <c r="F41" s="47"/>
      <c r="G41" s="334" t="s">
        <v>15864</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484</v>
      </c>
      <c r="E44" s="327"/>
      <c r="F44" s="47"/>
      <c r="G44" s="334" t="s">
        <v>15862</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t="s">
        <v>15863</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484</v>
      </c>
      <c r="E47" s="327"/>
      <c r="F47" s="47"/>
      <c r="G47" s="334" t="s">
        <v>15864</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15865</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15865</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484</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15866</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
      </c>
    </row>
    <row r="101" spans="2:7" ht="15.75" hidden="1">
      <c r="B101" s="236" t="s">
        <v>2464</v>
      </c>
      <c r="D101" s="282" t="str">
        <f>IF(AND(OR($D$27="Yes",$D$27=""),OR($D$33="Yes",$D$33="")),"Unknown","")</f>
        <v>Unknown</v>
      </c>
      <c r="E101" s="282" t="str">
        <f>IF(AND(OR($D$26="Yes",$D$26=""),OR($D$32="Yes",$D$32="")),"None","")</f>
        <v>None</v>
      </c>
      <c r="G101" s="282" t="str">
        <f>IF(OR($D$28="Yes",$D$28=""),"No","")</f>
        <v/>
      </c>
    </row>
    <row r="102" spans="2:7" ht="15.75" hidden="1">
      <c r="B102" s="236" t="s">
        <v>2465</v>
      </c>
      <c r="D102" s="282" t="str">
        <f>IF(AND(OR($D$28="Yes",$D$28=""),OR($D$34="Yes",$D$34="")),"Yes","")</f>
        <v/>
      </c>
      <c r="E102" s="282" t="str">
        <f>IF(AND(OR($D$27="Yes",$D$27=""),OR($D$33="Yes",$D$33="")),"100%","")</f>
        <v>100%</v>
      </c>
      <c r="G102" s="282" t="str">
        <f>IF(OR($D$29="Yes",$D$29=""),"Yes","")</f>
        <v>Yes</v>
      </c>
    </row>
    <row r="103" spans="2:7" ht="15.75" hidden="1">
      <c r="B103" s="236" t="s">
        <v>2466</v>
      </c>
      <c r="D103" s="282" t="str">
        <f>IF(AND(OR($D$28="Yes",$D$28=""),OR($D$34="Yes",$D$34="")),"No","")</f>
        <v/>
      </c>
      <c r="E103" s="282" t="str">
        <f>IF(AND(OR($D$27="Yes",$D$27=""),OR($D$33="Yes",$D$33="")),"Greater than 90%","")</f>
        <v>Greater than 90%</v>
      </c>
      <c r="G103" s="282" t="str">
        <f>IF(OR($D$29="Yes",$D$29=""),"No","")</f>
        <v>No</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99805C5-1D57-475B-8EE9-28A26840D736}"/>
    <hyperlink ref="D20" r:id="rId4" xr:uid="{A09A96A5-7C4C-4FF6-85D2-3E5A1566CE5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H17" sqref="H17"/>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1404</v>
      </c>
      <c r="B5" s="182" t="str">
        <f ca="1">IF(LEN(A5)=0,"",INDEX('Smelter Look-up'!$A:$A,MATCH($A5,'Smelter Look-up'!$E:$E,0)))</f>
        <v>Tantalum</v>
      </c>
      <c r="C5" s="186" t="str">
        <f ca="1">IF(LEN(A5)=0,"",INDEX('Smelter Look-up'!$C:$C,MATCH($A5,'Smelter Look-up'!$E:$E,0)))</f>
        <v>TANIOBIS Co., Ltd.</v>
      </c>
      <c r="D5" s="230"/>
      <c r="E5" s="182" t="str">
        <f ca="1">IF(ISERROR($V5),"",OFFSET('Smelter Look-up'!$D$4,$V5-4,0)&amp;"")</f>
        <v>THAILAND</v>
      </c>
      <c r="F5" s="182" t="str">
        <f ca="1">IF(ISERROR($V5),"",OFFSET('Smelter Look-up'!$E$4,$V5-4,0))</f>
        <v>CID002544</v>
      </c>
      <c r="G5" s="182" t="str">
        <f ca="1">IF(C5=$X$4,IF(ISERROR($V5),"Enter smelter details","RMI"),IF(ISERROR($V5),"",OFFSET('Smelter Look-up'!$F$4,$V5-4,0)))</f>
        <v>RMI</v>
      </c>
      <c r="H5" s="183">
        <f ca="1">IF(ISERROR($V5),"",OFFSET('Smelter Look-up'!$G$4,$V5-4,0))</f>
        <v>0</v>
      </c>
      <c r="I5" s="184" t="str">
        <f ca="1">IF(ISERROR($V5),"",OFFSET('Smelter Look-up'!$H$4,$V5-4,0))</f>
        <v>Map Ta Phut</v>
      </c>
      <c r="J5" s="184" t="str">
        <f ca="1">IF(ISERROR($V5),"",OFFSET('Smelter Look-up'!$I$4,$V5-4,0))</f>
        <v>Rayong</v>
      </c>
      <c r="K5" s="224"/>
      <c r="L5" s="224"/>
      <c r="M5" s="224"/>
      <c r="N5" s="224"/>
      <c r="O5" s="224"/>
      <c r="P5" s="185"/>
      <c r="Q5" s="225"/>
      <c r="R5" s="182" t="str">
        <f ca="1">IF(ISERROR($V5),"",OFFSET('Smelter Look-up'!$C$4,$V5-4,0)&amp;"")</f>
        <v>TANIOBIS Co., Ltd.</v>
      </c>
      <c r="S5" s="181" t="str">
        <f ca="1">IF(B5="","",IF(ISERROR(MATCH($E5,CL,0)),"Unknown",INDIRECT("'C'!$A$"&amp;MATCH($E5,CL,0)+1)))</f>
        <v>TH</v>
      </c>
      <c r="T5" s="181" t="str">
        <f ca="1">IF(B5="","",IF(ISERROR(MATCH($J5,SorP!$B$1:$B$6226,0)),"",INDIRECT("'SorP'!$A$"&amp;MATCH($S5&amp;$J5,SorP!C:C,0))))</f>
        <v>TH-21</v>
      </c>
      <c r="U5" s="201"/>
      <c r="V5" s="226">
        <f ca="1">IF(C5="",NA(),IF(OR(C5="Smelter not listed",C5="Smelter not yet identified"),MATCH($B5&amp;$D5,'Smelter Look-up'!$J:$J,0),MATCH($B5&amp;$C5,'Smelter Look-up'!$J:$J,0)))</f>
        <v>384</v>
      </c>
      <c r="X5" s="227">
        <f t="shared" ref="X5" ca="1" si="0">IF(AND(C5="Smelter not listed",OR(LEN(D5)=0,LEN(E5)=0)),1,0)</f>
        <v>0</v>
      </c>
      <c r="AB5" s="228" t="str">
        <f t="shared" ref="AB5" ca="1" si="1">B5&amp;C5</f>
        <v>TantalumTANIOBIS Co., Ltd.</v>
      </c>
    </row>
    <row r="6" spans="1:34" s="227" customFormat="1" ht="20.100000000000001" customHeight="1">
      <c r="A6" s="262" t="s">
        <v>1409</v>
      </c>
      <c r="B6" s="182" t="str">
        <f ca="1">IF(LEN(A6)=0,"",INDEX('Smelter Look-up'!$A:$A,MATCH($A6,'Smelter Look-up'!$E:$E,0)))</f>
        <v>Tantalum</v>
      </c>
      <c r="C6" s="186" t="str">
        <f ca="1">IF(LEN(A6)=0,"",INDEX('Smelter Look-up'!$C:$C,MATCH($A6,'Smelter Look-up'!$E:$E,0)))</f>
        <v>TANIOBIS Japan Co., Ltd.</v>
      </c>
      <c r="D6" s="230"/>
      <c r="E6" s="182" t="str">
        <f ca="1">IF(ISERROR($V6),"",OFFSET('Smelter Look-up'!$D$4,$V6-4,0)&amp;"")</f>
        <v>JAPAN</v>
      </c>
      <c r="F6" s="182" t="str">
        <f ca="1">IF(ISERROR($V6),"",OFFSET('Smelter Look-up'!$E$4,$V6-4,0))</f>
        <v>CID002549</v>
      </c>
      <c r="G6" s="182" t="str">
        <f ca="1">IF(C6=$X$4,IF(ISERROR($V6),"Enter smelter details","RMI"),IF(ISERROR($V6),"",OFFSET('Smelter Look-up'!$F$4,$V6-4,0)))</f>
        <v>RMI</v>
      </c>
      <c r="H6" s="183">
        <f ca="1">IF(ISERROR($V6),"",OFFSET('Smelter Look-up'!$G$4,$V6-4,0))</f>
        <v>0</v>
      </c>
      <c r="I6" s="184" t="str">
        <f ca="1">IF(ISERROR($V6),"",OFFSET('Smelter Look-up'!$H$4,$V6-4,0))</f>
        <v>Hitachi Ohmiya-shi</v>
      </c>
      <c r="J6" s="184" t="str">
        <f ca="1">IF(ISERROR($V6),"",OFFSET('Smelter Look-up'!$I$4,$V6-4,0))</f>
        <v>Ibaraki</v>
      </c>
      <c r="K6" s="224"/>
      <c r="L6" s="224"/>
      <c r="M6" s="224"/>
      <c r="N6" s="224"/>
      <c r="O6" s="224"/>
      <c r="P6" s="185"/>
      <c r="Q6" s="225"/>
      <c r="R6" s="182" t="str">
        <f ca="1">IF(ISERROR($V6),"",OFFSET('Smelter Look-up'!$C$4,$V6-4,0)&amp;"")</f>
        <v>TANIOBIS Japan Co., Ltd.</v>
      </c>
      <c r="S6" s="181" t="str">
        <f t="shared" ref="S6:S37" ca="1" si="2">IF(B6="","",IF(ISERROR(MATCH($E6,CL,0)),"Unknown",INDIRECT("'C'!$A$"&amp;MATCH($E6,CL,0)+1)))</f>
        <v>JP</v>
      </c>
      <c r="T6" s="181" t="str">
        <f ca="1">IF(B6="","",IF(ISERROR(MATCH($J6,SorP!$B$1:$B$6226,0)),"",INDIRECT("'SorP'!$A$"&amp;MATCH($S6&amp;$J6,SorP!C:C,0))))</f>
        <v>JP-08</v>
      </c>
      <c r="U6" s="201"/>
      <c r="V6" s="226">
        <f ca="1">IF(C6="",NA(),IF(OR(C6="Smelter not listed",C6="Smelter not yet identified"),MATCH($B6&amp;$D6,'Smelter Look-up'!$J:$J,0),MATCH($B6&amp;$C6,'Smelter Look-up'!$J:$J,0)))</f>
        <v>386</v>
      </c>
      <c r="X6" s="227">
        <f t="shared" ref="X6:X37" ca="1" si="3">IF(AND(C6="Smelter not listed",OR(LEN(D6)=0,LEN(E6)=0)),1,0)</f>
        <v>0</v>
      </c>
      <c r="AB6" s="228" t="str">
        <f t="shared" ref="AB6:AB37" ca="1" si="4">B6&amp;C6</f>
        <v>TantalumTANIOBIS Japan Co., Ltd.</v>
      </c>
    </row>
    <row r="7" spans="1:34" s="227" customFormat="1" ht="20.100000000000001" customHeight="1">
      <c r="A7" s="262" t="s">
        <v>1410</v>
      </c>
      <c r="B7" s="182" t="str">
        <f ca="1">IF(LEN(A7)=0,"",INDEX('Smelter Look-up'!$A:$A,MATCH($A7,'Smelter Look-up'!$E:$E,0)))</f>
        <v>Tantalum</v>
      </c>
      <c r="C7" s="186" t="str">
        <f ca="1">IF(LEN(A7)=0,"",INDEX('Smelter Look-up'!$C:$C,MATCH($A7,'Smelter Look-up'!$E:$E,0)))</f>
        <v>TANIOBIS Smelting GmbH &amp; Co. KG</v>
      </c>
      <c r="D7" s="230"/>
      <c r="E7" s="182" t="str">
        <f ca="1">IF(ISERROR($V7),"",OFFSET('Smelter Look-up'!$D$4,$V7-4,0)&amp;"")</f>
        <v>GERMANY</v>
      </c>
      <c r="F7" s="182" t="str">
        <f ca="1">IF(ISERROR($V7),"",OFFSET('Smelter Look-up'!$E$4,$V7-4,0))</f>
        <v>CID002550</v>
      </c>
      <c r="G7" s="182" t="str">
        <f ca="1">IF(C7=$X$4,IF(ISERROR($V7),"Enter smelter details","RMI"),IF(ISERROR($V7),"",OFFSET('Smelter Look-up'!$F$4,$V7-4,0)))</f>
        <v>RMI</v>
      </c>
      <c r="H7" s="183">
        <f ca="1">IF(ISERROR($V7),"",OFFSET('Smelter Look-up'!$G$4,$V7-4,0))</f>
        <v>0</v>
      </c>
      <c r="I7" s="184" t="str">
        <f ca="1">IF(ISERROR($V7),"",OFFSET('Smelter Look-up'!$H$4,$V7-4,0))</f>
        <v>Laufenburg</v>
      </c>
      <c r="J7" s="184" t="str">
        <f ca="1">IF(ISERROR($V7),"",OFFSET('Smelter Look-up'!$I$4,$V7-4,0))</f>
        <v>Baden-Württemberg</v>
      </c>
      <c r="K7" s="224"/>
      <c r="L7" s="224"/>
      <c r="M7" s="224"/>
      <c r="N7" s="224"/>
      <c r="O7" s="224"/>
      <c r="P7" s="185"/>
      <c r="Q7" s="225"/>
      <c r="R7" s="182" t="str">
        <f ca="1">IF(ISERROR($V7),"",OFFSET('Smelter Look-up'!$C$4,$V7-4,0)&amp;"")</f>
        <v>TANIOBIS Smelting GmbH &amp; Co. KG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387</v>
      </c>
      <c r="X7" s="227">
        <f t="shared" ca="1" si="3"/>
        <v>0</v>
      </c>
      <c r="AB7" s="228" t="str">
        <f t="shared" ca="1" si="4"/>
        <v>TantalumTANIOBIS Smelting GmbH &amp; Co. KG</v>
      </c>
    </row>
    <row r="8" spans="1:34" s="227" customFormat="1" ht="20.100000000000001" customHeight="1">
      <c r="A8" s="262" t="s">
        <v>1405</v>
      </c>
      <c r="B8" s="182" t="str">
        <f ca="1">IF(LEN(A8)=0,"",INDEX('Smelter Look-up'!$A:$A,MATCH($A8,'Smelter Look-up'!$E:$E,0)))</f>
        <v>Tantalum</v>
      </c>
      <c r="C8" s="186" t="str">
        <f ca="1">IF(LEN(A8)=0,"",INDEX('Smelter Look-up'!$C:$C,MATCH($A8,'Smelter Look-up'!$E:$E,0)))</f>
        <v>TANIOBIS GmbH</v>
      </c>
      <c r="D8" s="230"/>
      <c r="E8" s="182" t="str">
        <f ca="1">IF(ISERROR($V8),"",OFFSET('Smelter Look-up'!$D$4,$V8-4,0)&amp;"")</f>
        <v>GERMANY</v>
      </c>
      <c r="F8" s="182" t="str">
        <f ca="1">IF(ISERROR($V8),"",OFFSET('Smelter Look-up'!$E$4,$V8-4,0))</f>
        <v>CID002545</v>
      </c>
      <c r="G8" s="182" t="str">
        <f ca="1">IF(C8=$X$4,IF(ISERROR($V8),"Enter smelter details","RMI"),IF(ISERROR($V8),"",OFFSET('Smelter Look-up'!$F$4,$V8-4,0)))</f>
        <v>RMI</v>
      </c>
      <c r="H8" s="183">
        <f ca="1">IF(ISERROR($V8),"",OFFSET('Smelter Look-up'!$G$4,$V8-4,0))</f>
        <v>0</v>
      </c>
      <c r="I8" s="184" t="str">
        <f ca="1">IF(ISERROR($V8),"",OFFSET('Smelter Look-up'!$H$4,$V8-4,0))</f>
        <v>Goslar</v>
      </c>
      <c r="J8" s="184" t="str">
        <f ca="1">IF(ISERROR($V8),"",OFFSET('Smelter Look-up'!$I$4,$V8-4,0))</f>
        <v>Niedersachsen</v>
      </c>
      <c r="K8" s="224"/>
      <c r="L8" s="224"/>
      <c r="M8" s="224"/>
      <c r="N8" s="224"/>
      <c r="O8" s="224"/>
      <c r="P8" s="185"/>
      <c r="Q8" s="225"/>
      <c r="R8" s="182" t="str">
        <f ca="1">IF(ISERROR($V8),"",OFFSET('Smelter Look-up'!$C$4,$V8-4,0)&amp;"")</f>
        <v>TANIOBIS GmbH</v>
      </c>
      <c r="S8" s="181" t="str">
        <f t="shared" ca="1" si="2"/>
        <v>DE</v>
      </c>
      <c r="T8" s="181" t="str">
        <f ca="1">IF(B8="","",IF(ISERROR(MATCH($J8,SorP!$B$1:$B$6226,0)),"",INDIRECT("'SorP'!$A$"&amp;MATCH($S8&amp;$J8,SorP!C:C,0))))</f>
        <v>DE-NI</v>
      </c>
      <c r="U8" s="201"/>
      <c r="V8" s="226">
        <f ca="1">IF(C8="",NA(),IF(OR(C8="Smelter not listed",C8="Smelter not yet identified"),MATCH($B8&amp;$D8,'Smelter Look-up'!$J:$J,0),MATCH($B8&amp;$C8,'Smelter Look-up'!$J:$J,0)))</f>
        <v>385</v>
      </c>
      <c r="X8" s="227">
        <f t="shared" ca="1" si="3"/>
        <v>0</v>
      </c>
      <c r="AB8" s="228" t="str">
        <f t="shared" ca="1" si="4"/>
        <v>TantalumTANIOBIS GmbH</v>
      </c>
    </row>
    <row r="9" spans="1:34" s="227" customFormat="1" ht="20.100000000000001" customHeight="1">
      <c r="A9" s="262" t="s">
        <v>1414</v>
      </c>
      <c r="B9" s="182" t="str">
        <f ca="1">IF(LEN(A9)=0,"",INDEX('Smelter Look-up'!$A:$A,MATCH($A9,'Smelter Look-up'!$E:$E,0)))</f>
        <v>Tungsten</v>
      </c>
      <c r="C9" s="186" t="str">
        <f ca="1">IF(LEN(A9)=0,"",INDEX('Smelter Look-up'!$C:$C,MATCH($A9,'Smelter Look-up'!$E:$E,0)))</f>
        <v>H.C. Starck Tungsten GmbH</v>
      </c>
      <c r="D9" s="230"/>
      <c r="E9" s="182" t="str">
        <f ca="1">IF(ISERROR($V9),"",OFFSET('Smelter Look-up'!$D$4,$V9-4,0)&amp;"")</f>
        <v>GERMANY</v>
      </c>
      <c r="F9" s="182" t="str">
        <f ca="1">IF(ISERROR($V9),"",OFFSET('Smelter Look-up'!$E$4,$V9-4,0))</f>
        <v>CID002541</v>
      </c>
      <c r="G9" s="182" t="str">
        <f ca="1">IF(C9=$X$4,IF(ISERROR($V9),"Enter smelter details","RMI"),IF(ISERROR($V9),"",OFFSET('Smelter Look-up'!$F$4,$V9-4,0)))</f>
        <v>RMI</v>
      </c>
      <c r="H9" s="183">
        <f ca="1">IF(ISERROR($V9),"",OFFSET('Smelter Look-up'!$G$4,$V9-4,0))</f>
        <v>0</v>
      </c>
      <c r="I9" s="184" t="str">
        <f ca="1">IF(ISERROR($V9),"",OFFSET('Smelter Look-up'!$H$4,$V9-4,0))</f>
        <v>Goslar</v>
      </c>
      <c r="J9" s="184" t="str">
        <f ca="1">IF(ISERROR($V9),"",OFFSET('Smelter Look-up'!$I$4,$V9-4,0))</f>
        <v>Niedersachsen</v>
      </c>
      <c r="K9" s="224"/>
      <c r="L9" s="224"/>
      <c r="M9" s="224"/>
      <c r="N9" s="224"/>
      <c r="O9" s="224"/>
      <c r="P9" s="185"/>
      <c r="Q9" s="225"/>
      <c r="R9" s="182" t="str">
        <f ca="1">IF(ISERROR($V9),"",OFFSET('Smelter Look-up'!$C$4,$V9-4,0)&amp;"")</f>
        <v>H.C. Starck Tungsten GmbH</v>
      </c>
      <c r="S9" s="181" t="str">
        <f t="shared" ca="1" si="2"/>
        <v>DE</v>
      </c>
      <c r="T9" s="181" t="str">
        <f ca="1">IF(B9="","",IF(ISERROR(MATCH($J9,SorP!$B$1:$B$6226,0)),"",INDIRECT("'SorP'!$A$"&amp;MATCH($S9&amp;$J9,SorP!C:C,0))))</f>
        <v>DE-NI</v>
      </c>
      <c r="U9" s="201"/>
      <c r="V9" s="226">
        <f ca="1">IF(C9="",NA(),IF(OR(C9="Smelter not listed",C9="Smelter not yet identified"),MATCH($B9&amp;$D9,'Smelter Look-up'!$J:$J,0),MATCH($B9&amp;$C9,'Smelter Look-up'!$J:$J,0)))</f>
        <v>608</v>
      </c>
      <c r="X9" s="227">
        <f t="shared" ca="1" si="3"/>
        <v>0</v>
      </c>
      <c r="AB9" s="228" t="str">
        <f t="shared" ca="1" si="4"/>
        <v>TungstenH.C. Starck Tungsten GmbH</v>
      </c>
    </row>
    <row r="10" spans="1:34" s="227" customFormat="1" ht="20.100000000000001" customHeight="1">
      <c r="A10" s="262" t="s">
        <v>1415</v>
      </c>
      <c r="B10" s="182" t="str">
        <f ca="1">IF(LEN(A10)=0,"",INDEX('Smelter Look-up'!$A:$A,MATCH($A10,'Smelter Look-up'!$E:$E,0)))</f>
        <v>Tungsten</v>
      </c>
      <c r="C10" s="186" t="str">
        <f ca="1">IF(LEN(A10)=0,"",INDEX('Smelter Look-up'!$C:$C,MATCH($A10,'Smelter Look-up'!$E:$E,0)))</f>
        <v>TANIOBIS Smelting GmbH &amp; Co. KG</v>
      </c>
      <c r="D10" s="230"/>
      <c r="E10" s="182" t="str">
        <f ca="1">IF(ISERROR($V10),"",OFFSET('Smelter Look-up'!$D$4,$V10-4,0)&amp;"")</f>
        <v>GERMANY</v>
      </c>
      <c r="F10" s="182" t="str">
        <f ca="1">IF(ISERROR($V10),"",OFFSET('Smelter Look-up'!$E$4,$V10-4,0))</f>
        <v>CID002542</v>
      </c>
      <c r="G10" s="182" t="s">
        <v>13217</v>
      </c>
      <c r="H10" s="183">
        <f ca="1">IF(ISERROR($V10),"",OFFSET('Smelter Look-up'!$G$4,$V10-4,0))</f>
        <v>0</v>
      </c>
      <c r="I10" s="184" t="str">
        <f ca="1">IF(ISERROR($V10),"",OFFSET('Smelter Look-up'!$H$4,$V10-4,0))</f>
        <v>Laufenburg</v>
      </c>
      <c r="J10" s="184" t="str">
        <f ca="1">IF(ISERROR($V10),"",OFFSET('Smelter Look-up'!$I$4,$V10-4,0))</f>
        <v>Baden-Württemberg</v>
      </c>
      <c r="K10" s="224"/>
      <c r="L10" s="224"/>
      <c r="M10" s="224"/>
      <c r="N10" s="224"/>
      <c r="O10" s="224"/>
      <c r="P10" s="185"/>
      <c r="Q10" s="225"/>
      <c r="R10" s="182" t="str">
        <f ca="1">IF(ISERROR($V10),"",OFFSET('Smelter Look-up'!$C$4,$V10-4,0)&amp;"")</f>
        <v>TANIOBIS Smelting GmbH &amp; Co. KG</v>
      </c>
      <c r="S10" s="181" t="str">
        <f t="shared" ca="1" si="2"/>
        <v>DE</v>
      </c>
      <c r="T10" s="181" t="str">
        <f ca="1">IF(B10="","",IF(ISERROR(MATCH($J10,SorP!$B$1:$B$6226,0)),"",INDIRECT("'SorP'!$A$"&amp;MATCH($S10&amp;$J10,SorP!C:C,0))))</f>
        <v>DE-BW</v>
      </c>
      <c r="U10" s="201"/>
      <c r="V10" s="226">
        <f ca="1">IF(C10="",NA(),IF(OR(C10="Smelter not listed",C10="Smelter not yet identified"),MATCH($B10&amp;$D10,'Smelter Look-up'!$J:$J,0),MATCH($B10&amp;$C10,'Smelter Look-up'!$J:$J,0)))</f>
        <v>650</v>
      </c>
      <c r="X10" s="227">
        <f t="shared" ca="1" si="3"/>
        <v>0</v>
      </c>
      <c r="AB10" s="228" t="str">
        <f t="shared" ca="1" si="4"/>
        <v>TungstenTANIOBIS Smelting GmbH &amp; Co. KG</v>
      </c>
    </row>
    <row r="11" spans="1:34" s="227" customFormat="1" ht="20.100000000000001" customHeight="1">
      <c r="A11" s="262" t="s">
        <v>768</v>
      </c>
      <c r="B11" s="182" t="str">
        <f ca="1">IF(LEN(A11)=0,"",INDEX('Smelter Look-up'!$A:$A,MATCH($A11,'Smelter Look-up'!$E:$E,0)))</f>
        <v>Tin</v>
      </c>
      <c r="C11" s="186" t="str">
        <f ca="1">IF(LEN(A11)=0,"",INDEX('Smelter Look-up'!$C:$C,MATCH($A11,'Smelter Look-up'!$E:$E,0)))</f>
        <v>Minsur</v>
      </c>
      <c r="D11" s="230"/>
      <c r="E11" s="182" t="str">
        <f ca="1">IF(ISERROR($V11),"",OFFSET('Smelter Look-up'!$D$4,$V11-4,0)&amp;"")</f>
        <v>PERU</v>
      </c>
      <c r="F11" s="182" t="str">
        <f ca="1">IF(ISERROR($V11),"",OFFSET('Smelter Look-up'!$E$4,$V11-4,0))</f>
        <v>CID001182</v>
      </c>
      <c r="G11" s="182" t="str">
        <f ca="1">IF(C11=$X$4,IF(ISERROR($V11),"Enter smelter details","RMI"),IF(ISERROR($V11),"",OFFSET('Smelter Look-up'!$F$4,$V11-4,0)))</f>
        <v>RMI</v>
      </c>
      <c r="H11" s="183">
        <f ca="1">IF(ISERROR($V11),"",OFFSET('Smelter Look-up'!$G$4,$V11-4,0))</f>
        <v>0</v>
      </c>
      <c r="I11" s="184" t="str">
        <f ca="1">IF(ISERROR($V11),"",OFFSET('Smelter Look-up'!$H$4,$V11-4,0))</f>
        <v>Paracas</v>
      </c>
      <c r="J11" s="184" t="str">
        <f ca="1">IF(ISERROR($V11),"",OFFSET('Smelter Look-up'!$I$4,$V11-4,0))</f>
        <v>Ika</v>
      </c>
      <c r="K11" s="224"/>
      <c r="L11" s="224"/>
      <c r="M11" s="224"/>
      <c r="N11" s="224"/>
      <c r="O11" s="224"/>
      <c r="P11" s="185"/>
      <c r="Q11" s="225"/>
      <c r="R11" s="182" t="str">
        <f ca="1">IF(ISERROR($V11),"",OFFSET('Smelter Look-up'!$C$4,$V11-4,0)&amp;"")</f>
        <v>Minsur</v>
      </c>
      <c r="S11" s="181" t="str">
        <f t="shared" ca="1" si="2"/>
        <v>PE</v>
      </c>
      <c r="T11" s="181" t="str">
        <f ca="1">IF(B11="","",IF(ISERROR(MATCH($J11,SorP!$B$1:$B$6226,0)),"",INDIRECT("'SorP'!$A$"&amp;MATCH($S11&amp;$J11,SorP!C:C,0))))</f>
        <v>PE-ICA</v>
      </c>
      <c r="U11" s="201"/>
      <c r="V11" s="226">
        <f ca="1">IF(C11="",NA(),IF(OR(C11="Smelter not listed",C11="Smelter not yet identified"),MATCH($B11&amp;$D11,'Smelter Look-up'!$J:$J,0),MATCH($B11&amp;$C11,'Smelter Look-up'!$J:$J,0)))</f>
        <v>487</v>
      </c>
      <c r="X11" s="227">
        <f t="shared" ca="1" si="3"/>
        <v>0</v>
      </c>
      <c r="AB11" s="228" t="str">
        <f t="shared" ca="1" si="4"/>
        <v>TinMinsur</v>
      </c>
    </row>
    <row r="12" spans="1:34" s="227" customFormat="1" ht="20.100000000000001" customHeight="1">
      <c r="A12" s="262" t="s">
        <v>779</v>
      </c>
      <c r="B12" s="182" t="str">
        <f ca="1">IF(LEN(A12)=0,"",INDEX('Smelter Look-up'!$A:$A,MATCH($A12,'Smelter Look-up'!$E:$E,0)))</f>
        <v>Tin</v>
      </c>
      <c r="C12" s="186" t="str">
        <f ca="1">IF(LEN(A12)=0,"",INDEX('Smelter Look-up'!$C:$C,MATCH($A12,'Smelter Look-up'!$E:$E,0)))</f>
        <v>Thaisarco</v>
      </c>
      <c r="D12" s="230"/>
      <c r="E12" s="182" t="str">
        <f ca="1">IF(ISERROR($V12),"",OFFSET('Smelter Look-up'!$D$4,$V12-4,0)&amp;"")</f>
        <v>THAILAND</v>
      </c>
      <c r="F12" s="182" t="str">
        <f ca="1">IF(ISERROR($V12),"",OFFSET('Smelter Look-up'!$E$4,$V12-4,0))</f>
        <v>CID001898</v>
      </c>
      <c r="G12" s="182" t="str">
        <f ca="1">IF(C12=$X$4,IF(ISERROR($V12),"Enter smelter details","RMI"),IF(ISERROR($V12),"",OFFSET('Smelter Look-up'!$F$4,$V12-4,0)))</f>
        <v>RMI</v>
      </c>
      <c r="H12" s="183">
        <f ca="1">IF(ISERROR($V12),"",OFFSET('Smelter Look-up'!$G$4,$V12-4,0))</f>
        <v>0</v>
      </c>
      <c r="I12" s="184" t="str">
        <f ca="1">IF(ISERROR($V12),"",OFFSET('Smelter Look-up'!$H$4,$V12-4,0))</f>
        <v>Amphur Muang</v>
      </c>
      <c r="J12" s="184" t="str">
        <f ca="1">IF(ISERROR($V12),"",OFFSET('Smelter Look-up'!$I$4,$V12-4,0))</f>
        <v>Phuket</v>
      </c>
      <c r="K12" s="224"/>
      <c r="L12" s="224"/>
      <c r="M12" s="224"/>
      <c r="N12" s="224"/>
      <c r="O12" s="224"/>
      <c r="P12" s="185"/>
      <c r="Q12" s="225"/>
      <c r="R12" s="182" t="str">
        <f ca="1">IF(ISERROR($V12),"",OFFSET('Smelter Look-up'!$C$4,$V12-4,0)&amp;"")</f>
        <v>Thaisarco</v>
      </c>
      <c r="S12" s="181" t="str">
        <f t="shared" ca="1" si="2"/>
        <v>TH</v>
      </c>
      <c r="T12" s="181" t="str">
        <f ca="1">IF(B12="","",IF(ISERROR(MATCH($J12,SorP!$B$1:$B$6226,0)),"",INDIRECT("'SorP'!$A$"&amp;MATCH($S12&amp;$J12,SorP!C:C,0))))</f>
        <v>TH-83</v>
      </c>
      <c r="U12" s="201"/>
      <c r="V12" s="226">
        <f ca="1">IF(C12="",NA(),IF(OR(C12="Smelter not listed",C12="Smelter not yet identified"),MATCH($B12&amp;$D12,'Smelter Look-up'!$J:$J,0),MATCH($B12&amp;$C12,'Smelter Look-up'!$J:$J,0)))</f>
        <v>547</v>
      </c>
      <c r="X12" s="227">
        <f t="shared" ca="1" si="3"/>
        <v>0</v>
      </c>
      <c r="AB12" s="228" t="str">
        <f t="shared" ca="1" si="4"/>
        <v>TinThaisarco</v>
      </c>
    </row>
    <row r="13" spans="1:34" s="227" customFormat="1" ht="20.100000000000001" customHeight="1">
      <c r="A13" s="262" t="s">
        <v>761</v>
      </c>
      <c r="B13" s="182" t="str">
        <f ca="1">IF(LEN(A13)=0,"",INDEX('Smelter Look-up'!$A:$A,MATCH($A13,'Smelter Look-up'!$E:$E,0)))</f>
        <v>Tin</v>
      </c>
      <c r="C13" s="186" t="str">
        <f ca="1">IF(LEN(A13)=0,"",INDEX('Smelter Look-up'!$C:$C,MATCH($A13,'Smelter Look-up'!$E:$E,0)))</f>
        <v>Fenix Metals</v>
      </c>
      <c r="D13" s="230"/>
      <c r="E13" s="182" t="str">
        <f ca="1">IF(ISERROR($V13),"",OFFSET('Smelter Look-up'!$D$4,$V13-4,0)&amp;"")</f>
        <v>POLAND</v>
      </c>
      <c r="F13" s="182" t="str">
        <f ca="1">IF(ISERROR($V13),"",OFFSET('Smelter Look-up'!$E$4,$V13-4,0))</f>
        <v>CID000468</v>
      </c>
      <c r="G13" s="182" t="str">
        <f ca="1">IF(C13=$X$4,IF(ISERROR($V13),"Enter smelter details","RMI"),IF(ISERROR($V13),"",OFFSET('Smelter Look-up'!$F$4,$V13-4,0)))</f>
        <v>RMI</v>
      </c>
      <c r="H13" s="183">
        <f ca="1">IF(ISERROR($V13),"",OFFSET('Smelter Look-up'!$G$4,$V13-4,0))</f>
        <v>0</v>
      </c>
      <c r="I13" s="184" t="str">
        <f ca="1">IF(ISERROR($V13),"",OFFSET('Smelter Look-up'!$H$4,$V13-4,0))</f>
        <v>Chmielów</v>
      </c>
      <c r="J13" s="184" t="str">
        <f ca="1">IF(ISERROR($V13),"",OFFSET('Smelter Look-up'!$I$4,$V13-4,0))</f>
        <v>Podkarpackie</v>
      </c>
      <c r="K13" s="224"/>
      <c r="L13" s="224"/>
      <c r="M13" s="224"/>
      <c r="N13" s="224"/>
      <c r="O13" s="224"/>
      <c r="P13" s="185"/>
      <c r="Q13" s="225"/>
      <c r="R13" s="182" t="str">
        <f ca="1">IF(ISERROR($V13),"",OFFSET('Smelter Look-up'!$C$4,$V13-4,0)&amp;"")</f>
        <v>Fenix Metals</v>
      </c>
      <c r="S13" s="181" t="str">
        <f t="shared" ca="1" si="2"/>
        <v>PL</v>
      </c>
      <c r="T13" s="181" t="str">
        <f ca="1">IF(B13="","",IF(ISERROR(MATCH($J13,SorP!$B$1:$B$6226,0)),"",INDIRECT("'SorP'!$A$"&amp;MATCH($S13&amp;$J13,SorP!C:C,0))))</f>
        <v>PL-18</v>
      </c>
      <c r="U13" s="201"/>
      <c r="V13" s="226">
        <f ca="1">IF(C13="",NA(),IF(OR(C13="Smelter not listed",C13="Smelter not yet identified"),MATCH($B13&amp;$D13,'Smelter Look-up'!$J:$J,0),MATCH($B13&amp;$C13,'Smelter Look-up'!$J:$J,0)))</f>
        <v>442</v>
      </c>
      <c r="X13" s="227">
        <f t="shared" ca="1" si="3"/>
        <v>0</v>
      </c>
      <c r="AB13" s="228" t="str">
        <f t="shared" ca="1" si="4"/>
        <v>TinFenix Metals</v>
      </c>
    </row>
    <row r="14" spans="1:34" s="227" customFormat="1" ht="20.100000000000001" customHeight="1">
      <c r="A14" s="262" t="s">
        <v>782</v>
      </c>
      <c r="B14" s="182" t="str">
        <f ca="1">IF(LEN(A14)=0,"",INDEX('Smelter Look-up'!$A:$A,MATCH($A14,'Smelter Look-up'!$E:$E,0)))</f>
        <v>Tin</v>
      </c>
      <c r="C14" s="186" t="str">
        <f ca="1">IF(LEN(A14)=0,"",INDEX('Smelter Look-up'!$C:$C,MATCH($A14,'Smelter Look-up'!$E:$E,0)))</f>
        <v>Tin Smelting Branch of Yunnan Tin Co., Ltd.</v>
      </c>
      <c r="D14" s="230"/>
      <c r="E14" s="182" t="str">
        <f ca="1">IF(ISERROR($V14),"",OFFSET('Smelter Look-up'!$D$4,$V14-4,0)&amp;"")</f>
        <v>CHINA</v>
      </c>
      <c r="F14" s="182" t="str">
        <f ca="1">IF(ISERROR($V14),"",OFFSET('Smelter Look-up'!$E$4,$V14-4,0))</f>
        <v>CID002180</v>
      </c>
      <c r="G14" s="182" t="str">
        <f ca="1">IF(C14=$X$4,IF(ISERROR($V14),"Enter smelter details","RMI"),IF(ISERROR($V14),"",OFFSET('Smelter Look-up'!$F$4,$V14-4,0)))</f>
        <v>RMI</v>
      </c>
      <c r="H14" s="183">
        <f ca="1">IF(ISERROR($V14),"",OFFSET('Smelter Look-up'!$G$4,$V14-4,0))</f>
        <v>0</v>
      </c>
      <c r="I14" s="184" t="str">
        <f ca="1">IF(ISERROR($V14),"",OFFSET('Smelter Look-up'!$H$4,$V14-4,0))</f>
        <v>Gejiu</v>
      </c>
      <c r="J14" s="184" t="str">
        <f ca="1">IF(ISERROR($V14),"",OFFSET('Smelter Look-up'!$I$4,$V14-4,0))</f>
        <v>Yunnan Sheng</v>
      </c>
      <c r="K14" s="224"/>
      <c r="L14" s="224"/>
      <c r="M14" s="224"/>
      <c r="N14" s="224"/>
      <c r="O14" s="224"/>
      <c r="P14" s="185"/>
      <c r="Q14" s="225"/>
      <c r="R14" s="182" t="str">
        <f ca="1">IF(ISERROR($V14),"",OFFSET('Smelter Look-up'!$C$4,$V14-4,0)&amp;"")</f>
        <v>Tin Smelting Branch of Yunnan Tin Co., Ltd.</v>
      </c>
      <c r="S14" s="181" t="str">
        <f t="shared" ca="1" si="2"/>
        <v>CN</v>
      </c>
      <c r="T14" s="181" t="str">
        <f ca="1">IF(B14="","",IF(ISERROR(MATCH($J14,SorP!$B$1:$B$6226,0)),"",INDIRECT("'SorP'!$A$"&amp;MATCH($S14&amp;$J14,SorP!C:C,0))))</f>
        <v>CN-YN</v>
      </c>
      <c r="U14" s="201"/>
      <c r="V14" s="226">
        <f ca="1">IF(C14="",NA(),IF(OR(C14="Smelter not listed",C14="Smelter not yet identified"),MATCH($B14&amp;$D14,'Smelter Look-up'!$J:$J,0),MATCH($B14&amp;$C14,'Smelter Look-up'!$J:$J,0)))</f>
        <v>550</v>
      </c>
      <c r="X14" s="227">
        <f t="shared" ca="1" si="3"/>
        <v>0</v>
      </c>
      <c r="AB14" s="228" t="str">
        <f t="shared" ca="1" si="4"/>
        <v>TinTin Smelting Branch of Yunnan Tin Co., Ltd.</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BF62EDE-A9BB-4D03-BFF0-3D346B80557C}"/>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SCHOTT AG, Business Unit Advanced Optics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All glasses melted by SCHOTT AG, Business Unit Advanced Optics</v>
      </c>
      <c r="C6" s="89" t="str">
        <f ca="1">IF(H6=1,J6,I6)</f>
        <v>Complete</v>
      </c>
      <c r="D6" s="95" t="str">
        <f>IF(H6=1,"Click here to provide a Description of Scope","")</f>
        <v/>
      </c>
      <c r="E6" s="20" t="s">
        <v>1295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Dr. Kristian Eichgrün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ehs-compliance.ao@schott.com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(0) 6131 662155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Dr. Kristian Eichgrün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ehs-compliance.ao@schott.com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45433</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https://www.schott.com/de-de/ueber-uns/nachhaltigkeit/compliance
https://www.schott.com/de-de/einkaufsbedingungen-der-schott-ag</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EFAC2B02A3CE346AD2316CC645F5434" ma:contentTypeVersion="16" ma:contentTypeDescription="Create a new document." ma:contentTypeScope="" ma:versionID="0ee4f5d24d2113da888b006a366dc662">
  <xsd:schema xmlns:xsd="http://www.w3.org/2001/XMLSchema" xmlns:xs="http://www.w3.org/2001/XMLSchema" xmlns:p="http://schemas.microsoft.com/office/2006/metadata/properties" xmlns:ns2="3de2325d-f8fc-4266-ae10-028a5c19ffbd" xmlns:ns3="3e290420-55ae-4298-98e7-d196e5386ffd" targetNamespace="http://schemas.microsoft.com/office/2006/metadata/properties" ma:root="true" ma:fieldsID="d534edf52aed8799268e78f172bb8540" ns2:_="" ns3:_="">
    <xsd:import namespace="3de2325d-f8fc-4266-ae10-028a5c19ffbd"/>
    <xsd:import namespace="3e290420-55ae-4298-98e7-d196e5386ff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DateTaken" minOccurs="0"/>
                <xsd:element ref="ns3:MediaLengthInSeconds"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e2325d-f8fc-4266-ae10-028a5c19ffbd" elementFormDefault="qualified">
    <xsd:import namespace="http://schemas.microsoft.com/office/2006/documentManagement/types"/>
    <xsd:import namespace="http://schemas.microsoft.com/office/infopath/2007/PartnerControls"/>
    <xsd:element name="SharedWithUsers" ma:index="8"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d84f1e61-e882-435f-af67-ff6d516f7e83}" ma:internalName="TaxCatchAll" ma:showField="CatchAllData" ma:web="3de2325d-f8fc-4266-ae10-028a5c19ffb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e290420-55ae-4298-98e7-d196e5386ff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9e7d3644-934c-40d0-8a84-b31016b31084"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Inhaltstyp"/>
        <xsd:element ref="dc:title" minOccurs="0" maxOccurs="1" ma:index="3"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e290420-55ae-4298-98e7-d196e5386ffd">
      <Terms xmlns="http://schemas.microsoft.com/office/infopath/2007/PartnerControls"/>
    </lcf76f155ced4ddcb4097134ff3c332f>
    <TaxCatchAll xmlns="3de2325d-f8fc-4266-ae10-028a5c19ffbd" xsi:nil="true"/>
  </documentManagement>
</p:properties>
</file>

<file path=customXml/itemProps1.xml><?xml version="1.0" encoding="utf-8"?>
<ds:datastoreItem xmlns:ds="http://schemas.openxmlformats.org/officeDocument/2006/customXml" ds:itemID="{7EF6AD56-3120-49DB-B602-3ED4209A94F9}"/>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Metadata/LabelInfo.xml><?xml version="1.0" encoding="utf-8"?>
<clbl:labelList xmlns:clbl="http://schemas.microsoft.com/office/2020/mipLabelMetadata">
  <clbl:label id="{83d324fc-e042-4220-8d78-3f5616dbdc98}" enabled="1" method="Privileged" siteId="{086819db-ed40-4544-bfd2-412c6f1af603}" contentBits="0"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Ekkehard Gräff</cp:lastModifiedBy>
  <cp:lastPrinted>2015-04-21T20:47:43Z</cp:lastPrinted>
  <dcterms:created xsi:type="dcterms:W3CDTF">2010-06-21T21:00:23Z</dcterms:created>
  <dcterms:modified xsi:type="dcterms:W3CDTF">2024-05-21T07:43:25Z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